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theme/themeOverride1.xml" ContentType="application/vnd.openxmlformats-officedocument.themeOverride+xml"/>
  <Override PartName="/xl/charts/chart8.xml" ContentType="application/vnd.openxmlformats-officedocument.drawingml.chart+xml"/>
  <Override PartName="/xl/theme/themeOverride2.xml" ContentType="application/vnd.openxmlformats-officedocument.themeOverride+xml"/>
  <Override PartName="/xl/charts/chart9.xml" ContentType="application/vnd.openxmlformats-officedocument.drawingml.chart+xml"/>
  <Override PartName="/xl/theme/themeOverride3.xml" ContentType="application/vnd.openxmlformats-officedocument.themeOverride+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drawings/drawing2.xml" ContentType="application/vnd.openxmlformats-officedocument.drawing+xml"/>
  <Override PartName="/xl/charts/chart13.xml" ContentType="application/vnd.openxmlformats-officedocument.drawingml.chart+xml"/>
  <Override PartName="/xl/charts/chart14.xml" ContentType="application/vnd.openxmlformats-officedocument.drawingml.chart+xml"/>
  <Override PartName="/xl/charts/chart15.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Lenovo\Desktop\"/>
    </mc:Choice>
  </mc:AlternateContent>
  <bookViews>
    <workbookView xWindow="0" yWindow="0" windowWidth="23040" windowHeight="9012"/>
  </bookViews>
  <sheets>
    <sheet name="CIIP 2016 Revised Format" sheetId="4" r:id="rId1"/>
    <sheet name="Summary Tables &amp; Charts" sheetId="5" state="hidden" r:id="rId2"/>
    <sheet name="GRDP interregional" sheetId="23" state="hidden" r:id="rId3"/>
    <sheet name="GRDP (from 04Mar15 INFRACOM)" sheetId="17" state="hidden" r:id="rId4"/>
    <sheet name="Absorptive Capacity" sheetId="19" state="hidden" r:id="rId5"/>
    <sheet name="Lookup" sheetId="16" state="hidden" r:id="rId6"/>
    <sheet name="Infra Strategic Framework" sheetId="8" state="hidden" r:id="rId7"/>
  </sheets>
  <definedNames>
    <definedName name="_xlnm._FilterDatabase" localSheetId="0">'CIIP 2016 Revised Format'!$B$10:$IR$20</definedName>
    <definedName name="_xlnm._FilterDatabase" localSheetId="3" hidden="1">'GRDP (from 04Mar15 INFRACOM)'!$B$252:$M$252</definedName>
    <definedName name="_xlnm._FilterDatabase" localSheetId="2" hidden="1">'GRDP interregional'!$I$10:$N$10</definedName>
    <definedName name="_xlnm._FilterDatabase" localSheetId="1" hidden="1">'Summary Tables &amp; Charts'!$C$113:$M$113</definedName>
    <definedName name="Basic">Lookup!$K$2:$K$3</definedName>
    <definedName name="Basicinfrastructureservicesenhanced">Lookup!$K$2:$K$3</definedName>
    <definedName name="competitivenessenhanced">Lookup!$I$2:$I$5</definedName>
    <definedName name="Energy">Lookup!$F$2</definedName>
    <definedName name="environmentalqualityimproved">Lookup!$L$2:$L$4</definedName>
    <definedName name="governanceimproved">Lookup!$M$2:$M$4</definedName>
    <definedName name="ICT">Lookup!$E$2</definedName>
    <definedName name="infratype">Lookup!$T$2:$T$10</definedName>
    <definedName name="InvestmentType">Lookup!$R$2:$R$3</definedName>
    <definedName name="others">Lookup!$G$2:$G$7</definedName>
    <definedName name="Outcomes">Lookup!$H$2:$H$7</definedName>
    <definedName name="PDPChapter">Lookup!$S$2:$S$11</definedName>
    <definedName name="_xlnm.Print_Area" localSheetId="0">'CIIP 2016 Revised Format'!$C$1:$IS$20</definedName>
    <definedName name="_xlnm.Print_Titles" localSheetId="0">'CIIP 2016 Revised Format'!$6:$8</definedName>
    <definedName name="Project_Status">Lookup!$O$2:$O$5</definedName>
    <definedName name="Saferenvironmentcreated">Lookup!$J$2:$J$3</definedName>
    <definedName name="sector">Lookup!$A$2:$A$7</definedName>
    <definedName name="socialinfrastructure">Lookup!$D$2:$D$7</definedName>
    <definedName name="spatial">Lookup!$P$2:$P$5</definedName>
    <definedName name="transportation">Lookup!$C$2:$C$6</definedName>
    <definedName name="waterresources">Lookup!$B$2:$B$5</definedName>
    <definedName name="YesNo">Lookup!$Q$2:$Q$3</definedName>
  </definedNames>
  <calcPr calcId="152511"/>
</workbook>
</file>

<file path=xl/calcChain.xml><?xml version="1.0" encoding="utf-8"?>
<calcChain xmlns="http://schemas.openxmlformats.org/spreadsheetml/2006/main">
  <c r="GT11" i="4" l="1"/>
  <c r="GU11" i="4"/>
  <c r="GV11" i="4"/>
  <c r="GW11" i="4"/>
  <c r="GX11" i="4"/>
  <c r="GY11" i="4"/>
  <c r="GZ11" i="4"/>
  <c r="GT12" i="4"/>
  <c r="GU12" i="4"/>
  <c r="GV12" i="4"/>
  <c r="GW12" i="4"/>
  <c r="GX12" i="4"/>
  <c r="GY12" i="4"/>
  <c r="GZ12" i="4"/>
  <c r="GT13" i="4"/>
  <c r="GU13" i="4"/>
  <c r="GV13" i="4"/>
  <c r="GW13" i="4"/>
  <c r="GX13" i="4"/>
  <c r="GY13" i="4"/>
  <c r="GZ13" i="4"/>
  <c r="GT14" i="4"/>
  <c r="GU14" i="4"/>
  <c r="GV14" i="4"/>
  <c r="GW14" i="4"/>
  <c r="GX14" i="4"/>
  <c r="GY14" i="4"/>
  <c r="GZ14" i="4"/>
  <c r="GT15" i="4"/>
  <c r="GU15" i="4"/>
  <c r="GV15" i="4"/>
  <c r="GW15" i="4"/>
  <c r="GX15" i="4"/>
  <c r="GY15" i="4"/>
  <c r="GZ15" i="4"/>
  <c r="GT16" i="4"/>
  <c r="GU16" i="4"/>
  <c r="GV16" i="4"/>
  <c r="GW16" i="4"/>
  <c r="GX16" i="4"/>
  <c r="GY16" i="4"/>
  <c r="GZ16" i="4"/>
  <c r="GT17" i="4"/>
  <c r="GU17" i="4"/>
  <c r="GV17" i="4"/>
  <c r="GW17" i="4"/>
  <c r="GX17" i="4"/>
  <c r="GY17" i="4"/>
  <c r="GZ17" i="4"/>
  <c r="GT18" i="4"/>
  <c r="GU18" i="4"/>
  <c r="GV18" i="4"/>
  <c r="GW18" i="4"/>
  <c r="GX18" i="4"/>
  <c r="GY18" i="4"/>
  <c r="GZ18" i="4"/>
  <c r="GT19" i="4"/>
  <c r="GU19" i="4"/>
  <c r="GV19" i="4"/>
  <c r="GW19" i="4"/>
  <c r="GX19" i="4"/>
  <c r="GY19" i="4"/>
  <c r="GZ19" i="4"/>
  <c r="GT20" i="4"/>
  <c r="GU20" i="4"/>
  <c r="GV20" i="4"/>
  <c r="GW20" i="4"/>
  <c r="GX20" i="4"/>
  <c r="GY20" i="4"/>
  <c r="GZ20" i="4"/>
  <c r="HA12" i="4"/>
  <c r="HA13" i="4"/>
  <c r="HA14" i="4"/>
  <c r="HA15" i="4"/>
  <c r="HA16" i="4"/>
  <c r="HA17" i="4"/>
  <c r="HA18" i="4"/>
  <c r="HA19" i="4"/>
  <c r="HA20" i="4"/>
  <c r="HA11" i="4"/>
  <c r="HB12" i="4"/>
  <c r="HB13" i="4"/>
  <c r="HB14" i="4"/>
  <c r="HB15" i="4"/>
  <c r="HB16" i="4"/>
  <c r="HB17" i="4"/>
  <c r="HB18" i="4"/>
  <c r="HB19" i="4"/>
  <c r="HB20" i="4"/>
  <c r="HB11" i="4"/>
  <c r="DX24" i="4" l="1"/>
  <c r="DW24" i="4"/>
  <c r="DV24" i="4"/>
  <c r="DU24" i="4"/>
  <c r="DT24" i="4"/>
  <c r="DS24" i="4"/>
  <c r="DR24" i="4"/>
  <c r="DQ24" i="4"/>
  <c r="DY20" i="4"/>
  <c r="DY19" i="4"/>
  <c r="DY18" i="4"/>
  <c r="DY17" i="4"/>
  <c r="DY16" i="4"/>
  <c r="DY15" i="4"/>
  <c r="DY14" i="4"/>
  <c r="DY13" i="4"/>
  <c r="DY12" i="4"/>
  <c r="DY11" i="4"/>
  <c r="DY24" i="4" s="1"/>
  <c r="EG24" i="4"/>
  <c r="EF24" i="4"/>
  <c r="EE24" i="4"/>
  <c r="ED24" i="4"/>
  <c r="EC24" i="4"/>
  <c r="EB24" i="4"/>
  <c r="EA24" i="4"/>
  <c r="DZ24" i="4"/>
  <c r="EH25" i="4" s="1"/>
  <c r="EH20" i="4"/>
  <c r="EH19" i="4"/>
  <c r="EH18" i="4"/>
  <c r="EH17" i="4"/>
  <c r="EH16" i="4"/>
  <c r="EH15" i="4"/>
  <c r="EH14" i="4"/>
  <c r="EH13" i="4"/>
  <c r="EH12" i="4"/>
  <c r="EH11" i="4"/>
  <c r="FZ24" i="4"/>
  <c r="FY24" i="4"/>
  <c r="FX24" i="4"/>
  <c r="FW24" i="4"/>
  <c r="FV24" i="4"/>
  <c r="FU24" i="4"/>
  <c r="FT24" i="4"/>
  <c r="FS24" i="4"/>
  <c r="GA20" i="4"/>
  <c r="GA19" i="4"/>
  <c r="GA18" i="4"/>
  <c r="GA17" i="4"/>
  <c r="GA16" i="4"/>
  <c r="GA15" i="4"/>
  <c r="GA14" i="4"/>
  <c r="GA13" i="4"/>
  <c r="GA12" i="4"/>
  <c r="GA11" i="4"/>
  <c r="GA24" i="4" s="1"/>
  <c r="IL20" i="4"/>
  <c r="IK20" i="4"/>
  <c r="IJ20" i="4"/>
  <c r="II20" i="4"/>
  <c r="IH20" i="4"/>
  <c r="IG20" i="4"/>
  <c r="IE20" i="4"/>
  <c r="HK20" i="4"/>
  <c r="HS20" i="4"/>
  <c r="HR20" i="4"/>
  <c r="HQ20" i="4"/>
  <c r="HP20" i="4"/>
  <c r="HO20" i="4"/>
  <c r="HN20" i="4"/>
  <c r="HM20" i="4"/>
  <c r="HL20" i="4"/>
  <c r="GR20" i="4"/>
  <c r="GQ20" i="4"/>
  <c r="GP20" i="4"/>
  <c r="GO20" i="4"/>
  <c r="GN20" i="4"/>
  <c r="GM20" i="4"/>
  <c r="GL20" i="4"/>
  <c r="GK20" i="4"/>
  <c r="GJ20" i="4"/>
  <c r="DI20" i="4" s="1"/>
  <c r="FR20" i="4"/>
  <c r="FI20" i="4"/>
  <c r="EZ20" i="4"/>
  <c r="EQ20" i="4"/>
  <c r="BG20" i="4"/>
  <c r="BF20" i="4"/>
  <c r="BE20" i="4"/>
  <c r="BD20" i="4"/>
  <c r="BA20" i="4"/>
  <c r="AZ20" i="4"/>
  <c r="AY20" i="4"/>
  <c r="AX20" i="4"/>
  <c r="AW20" i="4"/>
  <c r="AV20" i="4"/>
  <c r="CH20" i="4"/>
  <c r="CG20" i="4"/>
  <c r="CF20" i="4"/>
  <c r="CE20" i="4"/>
  <c r="CD20" i="4"/>
  <c r="CC20" i="4"/>
  <c r="AK20" i="4"/>
  <c r="AJ20" i="4"/>
  <c r="AI20" i="4"/>
  <c r="AH20" i="4"/>
  <c r="AG20" i="4"/>
  <c r="AF20" i="4"/>
  <c r="AE20" i="4"/>
  <c r="AD20" i="4"/>
  <c r="AC20" i="4"/>
  <c r="AB20" i="4"/>
  <c r="AA20" i="4"/>
  <c r="Z20" i="4"/>
  <c r="Y20" i="4"/>
  <c r="X20" i="4"/>
  <c r="W20" i="4"/>
  <c r="V20" i="4"/>
  <c r="U20" i="4"/>
  <c r="T20" i="4"/>
  <c r="S20" i="4"/>
  <c r="R20" i="4"/>
  <c r="Q20" i="4"/>
  <c r="P20" i="4"/>
  <c r="O20" i="4"/>
  <c r="N20" i="4"/>
  <c r="M20" i="4"/>
  <c r="L20" i="4"/>
  <c r="K20" i="4"/>
  <c r="J20" i="4"/>
  <c r="I20" i="4"/>
  <c r="H20" i="4"/>
  <c r="G20" i="4"/>
  <c r="F20" i="4"/>
  <c r="E20" i="4"/>
  <c r="D20" i="4"/>
  <c r="IL19" i="4"/>
  <c r="IK19" i="4"/>
  <c r="IJ19" i="4"/>
  <c r="II19" i="4"/>
  <c r="IH19" i="4"/>
  <c r="IG19" i="4"/>
  <c r="IE19" i="4"/>
  <c r="HK19" i="4"/>
  <c r="HS19" i="4"/>
  <c r="HR19" i="4"/>
  <c r="HQ19" i="4"/>
  <c r="HP19" i="4"/>
  <c r="HO19" i="4"/>
  <c r="HN19" i="4"/>
  <c r="HM19" i="4"/>
  <c r="HL19" i="4"/>
  <c r="GR19" i="4"/>
  <c r="GQ19" i="4"/>
  <c r="GP19" i="4"/>
  <c r="GO19" i="4"/>
  <c r="GN19" i="4"/>
  <c r="GM19" i="4"/>
  <c r="GL19" i="4"/>
  <c r="GK19" i="4"/>
  <c r="GJ19" i="4"/>
  <c r="DI19" i="4" s="1"/>
  <c r="FR19" i="4"/>
  <c r="FI19" i="4"/>
  <c r="EZ19" i="4"/>
  <c r="EQ19" i="4"/>
  <c r="CW19" i="4"/>
  <c r="BG19" i="4"/>
  <c r="BF19" i="4"/>
  <c r="BE19" i="4"/>
  <c r="BD19" i="4"/>
  <c r="BA19" i="4"/>
  <c r="AZ19" i="4"/>
  <c r="AY19" i="4"/>
  <c r="AX19" i="4"/>
  <c r="AW19" i="4"/>
  <c r="AV19" i="4"/>
  <c r="CH19" i="4"/>
  <c r="CG19" i="4"/>
  <c r="CF19" i="4"/>
  <c r="CE19" i="4"/>
  <c r="CD19" i="4"/>
  <c r="CC19" i="4"/>
  <c r="AK19" i="4"/>
  <c r="AJ19" i="4"/>
  <c r="AI19" i="4"/>
  <c r="AH19" i="4"/>
  <c r="AG19" i="4"/>
  <c r="AF19" i="4"/>
  <c r="AE19" i="4"/>
  <c r="AD19" i="4"/>
  <c r="AC19" i="4"/>
  <c r="AB19" i="4"/>
  <c r="AA19" i="4"/>
  <c r="Z19" i="4"/>
  <c r="Y19" i="4"/>
  <c r="X19" i="4"/>
  <c r="W19" i="4"/>
  <c r="V19" i="4"/>
  <c r="U19" i="4"/>
  <c r="T19" i="4"/>
  <c r="S19" i="4"/>
  <c r="R19" i="4"/>
  <c r="Q19" i="4"/>
  <c r="P19" i="4"/>
  <c r="O19" i="4"/>
  <c r="N19" i="4"/>
  <c r="M19" i="4"/>
  <c r="L19" i="4"/>
  <c r="K19" i="4"/>
  <c r="J19" i="4"/>
  <c r="I19" i="4"/>
  <c r="H19" i="4"/>
  <c r="G19" i="4"/>
  <c r="F19" i="4"/>
  <c r="E19" i="4"/>
  <c r="D19" i="4"/>
  <c r="IL18" i="4"/>
  <c r="IK18" i="4"/>
  <c r="IJ18" i="4"/>
  <c r="II18" i="4"/>
  <c r="IH18" i="4"/>
  <c r="IG18" i="4"/>
  <c r="IE18" i="4"/>
  <c r="HK18" i="4"/>
  <c r="HS18" i="4"/>
  <c r="HR18" i="4"/>
  <c r="HQ18" i="4"/>
  <c r="HP18" i="4"/>
  <c r="HO18" i="4"/>
  <c r="HN18" i="4"/>
  <c r="HM18" i="4"/>
  <c r="HL18" i="4"/>
  <c r="GR18" i="4"/>
  <c r="GQ18" i="4"/>
  <c r="GP18" i="4"/>
  <c r="GO18" i="4"/>
  <c r="GN18" i="4"/>
  <c r="GM18" i="4"/>
  <c r="GL18" i="4"/>
  <c r="GK18" i="4"/>
  <c r="GJ18" i="4"/>
  <c r="DI18" i="4" s="1"/>
  <c r="DH18" i="4" s="1"/>
  <c r="FR18" i="4"/>
  <c r="FI18" i="4"/>
  <c r="EZ18" i="4"/>
  <c r="EQ18" i="4"/>
  <c r="CW18" i="4" s="1"/>
  <c r="BG18" i="4"/>
  <c r="BF18" i="4"/>
  <c r="BE18" i="4"/>
  <c r="BD18" i="4"/>
  <c r="BA18" i="4"/>
  <c r="AZ18" i="4"/>
  <c r="AY18" i="4"/>
  <c r="AX18" i="4"/>
  <c r="AW18" i="4"/>
  <c r="AV18" i="4"/>
  <c r="CH18" i="4"/>
  <c r="CG18" i="4"/>
  <c r="CF18" i="4"/>
  <c r="CE18" i="4"/>
  <c r="CD18" i="4"/>
  <c r="CC18" i="4"/>
  <c r="AK18" i="4"/>
  <c r="AJ18" i="4"/>
  <c r="AI18" i="4"/>
  <c r="AH18" i="4"/>
  <c r="AG18" i="4"/>
  <c r="AF18" i="4"/>
  <c r="AE18" i="4"/>
  <c r="AD18" i="4"/>
  <c r="AC18" i="4"/>
  <c r="AB18" i="4"/>
  <c r="AA18" i="4"/>
  <c r="Z18" i="4"/>
  <c r="Y18" i="4"/>
  <c r="X18" i="4"/>
  <c r="W18" i="4"/>
  <c r="V18" i="4"/>
  <c r="U18" i="4"/>
  <c r="T18" i="4"/>
  <c r="S18" i="4"/>
  <c r="R18" i="4"/>
  <c r="Q18" i="4"/>
  <c r="P18" i="4"/>
  <c r="O18" i="4"/>
  <c r="N18" i="4"/>
  <c r="M18" i="4"/>
  <c r="L18" i="4"/>
  <c r="K18" i="4"/>
  <c r="J18" i="4"/>
  <c r="I18" i="4"/>
  <c r="H18" i="4"/>
  <c r="G18" i="4"/>
  <c r="F18" i="4"/>
  <c r="E18" i="4"/>
  <c r="D18" i="4"/>
  <c r="IV17" i="4"/>
  <c r="IL17" i="4"/>
  <c r="IK17" i="4"/>
  <c r="IJ17" i="4"/>
  <c r="II17" i="4"/>
  <c r="IH17" i="4"/>
  <c r="IG17" i="4"/>
  <c r="IE17" i="4"/>
  <c r="HK17" i="4"/>
  <c r="HS17" i="4"/>
  <c r="HR17" i="4"/>
  <c r="HQ17" i="4"/>
  <c r="HP17" i="4"/>
  <c r="HO17" i="4"/>
  <c r="HN17" i="4"/>
  <c r="HM17" i="4"/>
  <c r="HL17" i="4"/>
  <c r="GR17" i="4"/>
  <c r="GQ17" i="4"/>
  <c r="GP17" i="4"/>
  <c r="GO17" i="4"/>
  <c r="GN17" i="4"/>
  <c r="GM17" i="4"/>
  <c r="GL17" i="4"/>
  <c r="GS17" i="4" s="1"/>
  <c r="GK17" i="4"/>
  <c r="GJ17" i="4"/>
  <c r="DI17" i="4"/>
  <c r="FR17" i="4"/>
  <c r="FI17" i="4"/>
  <c r="EZ17" i="4"/>
  <c r="EQ17" i="4"/>
  <c r="BG17" i="4"/>
  <c r="BF17" i="4"/>
  <c r="BV17" i="4" s="1"/>
  <c r="BE17" i="4"/>
  <c r="BD17" i="4"/>
  <c r="BA17" i="4"/>
  <c r="AZ17" i="4"/>
  <c r="AY17" i="4"/>
  <c r="AX17" i="4"/>
  <c r="AW17" i="4"/>
  <c r="AV17" i="4"/>
  <c r="CH17" i="4"/>
  <c r="CG17" i="4"/>
  <c r="CF17" i="4"/>
  <c r="CE17" i="4"/>
  <c r="CD17" i="4"/>
  <c r="CC17" i="4"/>
  <c r="AK17" i="4"/>
  <c r="AJ17" i="4"/>
  <c r="AI17" i="4"/>
  <c r="AH17" i="4"/>
  <c r="AG17" i="4"/>
  <c r="AF17" i="4"/>
  <c r="AE17" i="4"/>
  <c r="AD17" i="4"/>
  <c r="AC17" i="4"/>
  <c r="AB17" i="4"/>
  <c r="AA17" i="4"/>
  <c r="Z17" i="4"/>
  <c r="Y17" i="4"/>
  <c r="X17" i="4"/>
  <c r="W17" i="4"/>
  <c r="V17" i="4"/>
  <c r="U17" i="4"/>
  <c r="T17" i="4"/>
  <c r="S17" i="4"/>
  <c r="R17" i="4"/>
  <c r="Q17" i="4"/>
  <c r="P17" i="4"/>
  <c r="O17" i="4"/>
  <c r="N17" i="4"/>
  <c r="M17" i="4"/>
  <c r="L17" i="4"/>
  <c r="K17" i="4"/>
  <c r="J17" i="4"/>
  <c r="I17" i="4"/>
  <c r="H17" i="4"/>
  <c r="G17" i="4"/>
  <c r="F17" i="4"/>
  <c r="E17" i="4"/>
  <c r="D17" i="4"/>
  <c r="IL16" i="4"/>
  <c r="IK16" i="4"/>
  <c r="IJ16" i="4"/>
  <c r="II16" i="4"/>
  <c r="IH16" i="4"/>
  <c r="IG16" i="4"/>
  <c r="IE16" i="4"/>
  <c r="HK16" i="4"/>
  <c r="HS16" i="4"/>
  <c r="HR16" i="4"/>
  <c r="HQ16" i="4"/>
  <c r="HP16" i="4"/>
  <c r="HO16" i="4"/>
  <c r="HN16" i="4"/>
  <c r="HM16" i="4"/>
  <c r="HL16" i="4"/>
  <c r="GR16" i="4"/>
  <c r="GQ16" i="4"/>
  <c r="GP16" i="4"/>
  <c r="GO16" i="4"/>
  <c r="GN16" i="4"/>
  <c r="GM16" i="4"/>
  <c r="GL16" i="4"/>
  <c r="GK16" i="4"/>
  <c r="GJ16" i="4"/>
  <c r="DI16" i="4" s="1"/>
  <c r="FR16" i="4"/>
  <c r="FI16" i="4"/>
  <c r="EZ16" i="4"/>
  <c r="EQ16" i="4"/>
  <c r="BG16" i="4"/>
  <c r="BF16" i="4"/>
  <c r="BE16" i="4"/>
  <c r="BD16" i="4"/>
  <c r="BA16" i="4"/>
  <c r="AZ16" i="4"/>
  <c r="AY16" i="4"/>
  <c r="AX16" i="4"/>
  <c r="AW16" i="4"/>
  <c r="AV16" i="4"/>
  <c r="CH16" i="4"/>
  <c r="CG16" i="4"/>
  <c r="CF16" i="4"/>
  <c r="CE16" i="4"/>
  <c r="CD16" i="4"/>
  <c r="CC16" i="4"/>
  <c r="AK16" i="4"/>
  <c r="AJ16" i="4"/>
  <c r="AI16" i="4"/>
  <c r="AH16" i="4"/>
  <c r="AG16" i="4"/>
  <c r="AF16" i="4"/>
  <c r="AE16" i="4"/>
  <c r="AD16" i="4"/>
  <c r="AC16" i="4"/>
  <c r="AB16" i="4"/>
  <c r="AA16" i="4"/>
  <c r="Z16" i="4"/>
  <c r="Y16" i="4"/>
  <c r="X16" i="4"/>
  <c r="W16" i="4"/>
  <c r="V16" i="4"/>
  <c r="U16" i="4"/>
  <c r="T16" i="4"/>
  <c r="S16" i="4"/>
  <c r="R16" i="4"/>
  <c r="Q16" i="4"/>
  <c r="P16" i="4"/>
  <c r="O16" i="4"/>
  <c r="N16" i="4"/>
  <c r="M16" i="4"/>
  <c r="L16" i="4"/>
  <c r="K16" i="4"/>
  <c r="J16" i="4"/>
  <c r="I16" i="4"/>
  <c r="H16" i="4"/>
  <c r="G16" i="4"/>
  <c r="F16" i="4"/>
  <c r="E16" i="4"/>
  <c r="D16" i="4"/>
  <c r="IL15" i="4"/>
  <c r="IK15" i="4"/>
  <c r="IJ15" i="4"/>
  <c r="II15" i="4"/>
  <c r="IH15" i="4"/>
  <c r="IG15" i="4"/>
  <c r="IE15" i="4"/>
  <c r="HK15" i="4"/>
  <c r="HS15" i="4"/>
  <c r="HR15" i="4"/>
  <c r="HQ15" i="4"/>
  <c r="HP15" i="4"/>
  <c r="HP24" i="4" s="1"/>
  <c r="J219" i="5" s="1"/>
  <c r="HO15" i="4"/>
  <c r="HN15" i="4"/>
  <c r="HM15" i="4"/>
  <c r="HL15" i="4"/>
  <c r="GR15" i="4"/>
  <c r="GQ15" i="4"/>
  <c r="GP15" i="4"/>
  <c r="GO15" i="4"/>
  <c r="GN15" i="4"/>
  <c r="GM15" i="4"/>
  <c r="GL15" i="4"/>
  <c r="GK15" i="4"/>
  <c r="GJ15" i="4"/>
  <c r="DI15" i="4" s="1"/>
  <c r="FR15" i="4"/>
  <c r="FI15" i="4"/>
  <c r="EZ15" i="4"/>
  <c r="EQ15" i="4"/>
  <c r="CW15" i="4" s="1"/>
  <c r="BG15" i="4"/>
  <c r="BF15" i="4"/>
  <c r="BE15" i="4"/>
  <c r="BD15" i="4"/>
  <c r="BA15" i="4"/>
  <c r="AZ15" i="4"/>
  <c r="AY15" i="4"/>
  <c r="AX15" i="4"/>
  <c r="AW15" i="4"/>
  <c r="AV15" i="4"/>
  <c r="CH15" i="4"/>
  <c r="CG15" i="4"/>
  <c r="CF15" i="4"/>
  <c r="CE15" i="4"/>
  <c r="CD15" i="4"/>
  <c r="CC15" i="4"/>
  <c r="AK15" i="4"/>
  <c r="AJ15" i="4"/>
  <c r="AI15" i="4"/>
  <c r="AH15" i="4"/>
  <c r="AG15" i="4"/>
  <c r="AF15" i="4"/>
  <c r="AE15" i="4"/>
  <c r="AD15" i="4"/>
  <c r="AC15" i="4"/>
  <c r="AB15" i="4"/>
  <c r="AA15" i="4"/>
  <c r="Z15" i="4"/>
  <c r="Y15" i="4"/>
  <c r="X15" i="4"/>
  <c r="W15" i="4"/>
  <c r="V15" i="4"/>
  <c r="U15" i="4"/>
  <c r="T15" i="4"/>
  <c r="S15" i="4"/>
  <c r="R15" i="4"/>
  <c r="Q15" i="4"/>
  <c r="P15" i="4"/>
  <c r="O15" i="4"/>
  <c r="N15" i="4"/>
  <c r="M15" i="4"/>
  <c r="L15" i="4"/>
  <c r="K15" i="4"/>
  <c r="J15" i="4"/>
  <c r="I15" i="4"/>
  <c r="H15" i="4"/>
  <c r="G15" i="4"/>
  <c r="F15" i="4"/>
  <c r="E15" i="4"/>
  <c r="D15" i="4"/>
  <c r="AL15" i="4" s="1"/>
  <c r="IL14" i="4"/>
  <c r="IK14" i="4"/>
  <c r="IJ14" i="4"/>
  <c r="II14" i="4"/>
  <c r="IH14" i="4"/>
  <c r="IH24" i="4" s="1"/>
  <c r="II29" i="4" s="1"/>
  <c r="IG14" i="4"/>
  <c r="IE14" i="4"/>
  <c r="HK14" i="4"/>
  <c r="HS14" i="4"/>
  <c r="HR14" i="4"/>
  <c r="HQ14" i="4"/>
  <c r="HP14" i="4"/>
  <c r="HO14" i="4"/>
  <c r="HN14" i="4"/>
  <c r="HM14" i="4"/>
  <c r="HL14" i="4"/>
  <c r="GR14" i="4"/>
  <c r="GQ14" i="4"/>
  <c r="GP14" i="4"/>
  <c r="GO14" i="4"/>
  <c r="GN14" i="4"/>
  <c r="GM14" i="4"/>
  <c r="GL14" i="4"/>
  <c r="GK14" i="4"/>
  <c r="GJ14" i="4"/>
  <c r="DI14" i="4" s="1"/>
  <c r="DH14" i="4" s="1"/>
  <c r="FR14" i="4"/>
  <c r="FI14" i="4"/>
  <c r="EZ14" i="4"/>
  <c r="EQ14" i="4"/>
  <c r="BG14" i="4"/>
  <c r="BF14" i="4"/>
  <c r="BE14" i="4"/>
  <c r="BD14" i="4"/>
  <c r="BA14" i="4"/>
  <c r="AZ14" i="4"/>
  <c r="AY14" i="4"/>
  <c r="AX14" i="4"/>
  <c r="AW14" i="4"/>
  <c r="AV14" i="4"/>
  <c r="CH14" i="4"/>
  <c r="CG14" i="4"/>
  <c r="CF14" i="4"/>
  <c r="CE14" i="4"/>
  <c r="CD14" i="4"/>
  <c r="CC14" i="4"/>
  <c r="AK14" i="4"/>
  <c r="AJ14" i="4"/>
  <c r="AI14" i="4"/>
  <c r="AH14" i="4"/>
  <c r="AG14" i="4"/>
  <c r="AF14" i="4"/>
  <c r="AE14" i="4"/>
  <c r="AD14" i="4"/>
  <c r="AC14" i="4"/>
  <c r="AB14" i="4"/>
  <c r="AA14" i="4"/>
  <c r="Z14" i="4"/>
  <c r="Y14" i="4"/>
  <c r="X14" i="4"/>
  <c r="W14" i="4"/>
  <c r="V14" i="4"/>
  <c r="U14" i="4"/>
  <c r="T14" i="4"/>
  <c r="S14" i="4"/>
  <c r="R14" i="4"/>
  <c r="Q14" i="4"/>
  <c r="P14" i="4"/>
  <c r="O14" i="4"/>
  <c r="N14" i="4"/>
  <c r="M14" i="4"/>
  <c r="L14" i="4"/>
  <c r="K14" i="4"/>
  <c r="J14" i="4"/>
  <c r="I14" i="4"/>
  <c r="H14" i="4"/>
  <c r="G14" i="4"/>
  <c r="F14" i="4"/>
  <c r="E14" i="4"/>
  <c r="D14" i="4"/>
  <c r="IL13" i="4"/>
  <c r="IK13" i="4"/>
  <c r="IK24" i="4" s="1"/>
  <c r="II31" i="4" s="1"/>
  <c r="IJ13" i="4"/>
  <c r="II13" i="4"/>
  <c r="IG13" i="4"/>
  <c r="IE13" i="4"/>
  <c r="HK13" i="4"/>
  <c r="HS13" i="4"/>
  <c r="HR13" i="4"/>
  <c r="HQ13" i="4"/>
  <c r="HQ24" i="4" s="1"/>
  <c r="J218" i="5" s="1"/>
  <c r="HP13" i="4"/>
  <c r="HO13" i="4"/>
  <c r="HN13" i="4"/>
  <c r="HM13" i="4"/>
  <c r="HM24" i="4" s="1"/>
  <c r="J221" i="5" s="1"/>
  <c r="K221" i="5" s="1"/>
  <c r="HL13" i="4"/>
  <c r="GR13" i="4"/>
  <c r="GQ13" i="4"/>
  <c r="GP13" i="4"/>
  <c r="GO13" i="4"/>
  <c r="GN13" i="4"/>
  <c r="GM13" i="4"/>
  <c r="GL13" i="4"/>
  <c r="GK13" i="4"/>
  <c r="GJ13" i="4"/>
  <c r="DI13" i="4" s="1"/>
  <c r="DH13" i="4" s="1"/>
  <c r="DG13" i="4" s="1"/>
  <c r="FR13" i="4"/>
  <c r="FI13" i="4"/>
  <c r="EZ13" i="4"/>
  <c r="EQ13" i="4"/>
  <c r="CW13" i="4" s="1"/>
  <c r="BG13" i="4"/>
  <c r="BF13" i="4"/>
  <c r="BE13" i="4"/>
  <c r="BD13" i="4"/>
  <c r="BA13" i="4"/>
  <c r="AZ13" i="4"/>
  <c r="AY13" i="4"/>
  <c r="AX13" i="4"/>
  <c r="AW13" i="4"/>
  <c r="AV13" i="4"/>
  <c r="CH13" i="4"/>
  <c r="CF13" i="4"/>
  <c r="CE13" i="4"/>
  <c r="CD13" i="4"/>
  <c r="CC13" i="4"/>
  <c r="AK13" i="4"/>
  <c r="AJ13" i="4"/>
  <c r="AI13" i="4"/>
  <c r="AH13" i="4"/>
  <c r="AG13" i="4"/>
  <c r="AF13" i="4"/>
  <c r="AE13" i="4"/>
  <c r="AD13" i="4"/>
  <c r="AC13" i="4"/>
  <c r="AB13" i="4"/>
  <c r="AA13" i="4"/>
  <c r="Z13" i="4"/>
  <c r="Y13" i="4"/>
  <c r="X13" i="4"/>
  <c r="W13" i="4"/>
  <c r="V13" i="4"/>
  <c r="U13" i="4"/>
  <c r="T13" i="4"/>
  <c r="S13" i="4"/>
  <c r="R13" i="4"/>
  <c r="Q13" i="4"/>
  <c r="P13" i="4"/>
  <c r="O13" i="4"/>
  <c r="N13" i="4"/>
  <c r="M13" i="4"/>
  <c r="L13" i="4"/>
  <c r="K13" i="4"/>
  <c r="J13" i="4"/>
  <c r="I13" i="4"/>
  <c r="H13" i="4"/>
  <c r="G13" i="4"/>
  <c r="F13" i="4"/>
  <c r="E13" i="4"/>
  <c r="D13" i="4"/>
  <c r="IL12" i="4"/>
  <c r="IK12" i="4"/>
  <c r="IJ12" i="4"/>
  <c r="II12" i="4"/>
  <c r="IG12" i="4"/>
  <c r="IG24" i="4" s="1"/>
  <c r="IE12" i="4"/>
  <c r="HK12" i="4"/>
  <c r="HS12" i="4"/>
  <c r="HR12" i="4"/>
  <c r="HR24" i="4" s="1"/>
  <c r="J211" i="5" s="1"/>
  <c r="HQ12" i="4"/>
  <c r="HP12" i="4"/>
  <c r="HO12" i="4"/>
  <c r="HN12" i="4"/>
  <c r="HM12" i="4"/>
  <c r="HL12" i="4"/>
  <c r="GR12" i="4"/>
  <c r="GQ12" i="4"/>
  <c r="GP12" i="4"/>
  <c r="GO12" i="4"/>
  <c r="GN12" i="4"/>
  <c r="GM12" i="4"/>
  <c r="GL12" i="4"/>
  <c r="GK12" i="4"/>
  <c r="GJ12" i="4"/>
  <c r="DI12" i="4" s="1"/>
  <c r="DH12" i="4" s="1"/>
  <c r="FR12" i="4"/>
  <c r="FI12" i="4"/>
  <c r="EZ12" i="4"/>
  <c r="EQ12" i="4"/>
  <c r="CW12" i="4" s="1"/>
  <c r="BG12" i="4"/>
  <c r="BF12" i="4"/>
  <c r="BM12" i="4" s="1"/>
  <c r="BE12" i="4"/>
  <c r="BD12" i="4"/>
  <c r="BA12" i="4"/>
  <c r="AZ12" i="4"/>
  <c r="AY12" i="4"/>
  <c r="AX12" i="4"/>
  <c r="AW12" i="4"/>
  <c r="AV12" i="4"/>
  <c r="CH12" i="4"/>
  <c r="CF12" i="4"/>
  <c r="CE12" i="4"/>
  <c r="CE25" i="4" s="1"/>
  <c r="CD12" i="4"/>
  <c r="CC12" i="4"/>
  <c r="AK12" i="4"/>
  <c r="AJ12" i="4"/>
  <c r="AI12" i="4"/>
  <c r="AH12" i="4"/>
  <c r="AG12" i="4"/>
  <c r="AF12" i="4"/>
  <c r="AE12" i="4"/>
  <c r="AD12" i="4"/>
  <c r="AC12" i="4"/>
  <c r="AB12" i="4"/>
  <c r="AA12" i="4"/>
  <c r="Z12" i="4"/>
  <c r="Y12" i="4"/>
  <c r="X12" i="4"/>
  <c r="W12" i="4"/>
  <c r="V12" i="4"/>
  <c r="U12" i="4"/>
  <c r="T12" i="4"/>
  <c r="S12" i="4"/>
  <c r="R12" i="4"/>
  <c r="Q12" i="4"/>
  <c r="P12" i="4"/>
  <c r="O12" i="4"/>
  <c r="N12" i="4"/>
  <c r="M12" i="4"/>
  <c r="L12" i="4"/>
  <c r="K12" i="4"/>
  <c r="J12" i="4"/>
  <c r="I12" i="4"/>
  <c r="H12" i="4"/>
  <c r="G12" i="4"/>
  <c r="AL12" i="4" s="1"/>
  <c r="F12" i="4"/>
  <c r="E12" i="4"/>
  <c r="D12" i="4"/>
  <c r="DH15" i="4"/>
  <c r="DG15" i="4" s="1"/>
  <c r="DF15" i="4" s="1"/>
  <c r="DE15" i="4" s="1"/>
  <c r="IU17" i="4"/>
  <c r="IV15" i="4"/>
  <c r="IU15" i="4"/>
  <c r="BX17" i="4"/>
  <c r="IV18" i="4"/>
  <c r="BR19" i="4"/>
  <c r="BO14" i="4"/>
  <c r="BJ17" i="4"/>
  <c r="IV14" i="4"/>
  <c r="BM20" i="4"/>
  <c r="BI20" i="4"/>
  <c r="BY20" i="4"/>
  <c r="BU20" i="4"/>
  <c r="BN17" i="4"/>
  <c r="BX19" i="4"/>
  <c r="BR17" i="4"/>
  <c r="GS15" i="4"/>
  <c r="BL18" i="4"/>
  <c r="BI15" i="4"/>
  <c r="BT17" i="4"/>
  <c r="BL17" i="4"/>
  <c r="BP17" i="4"/>
  <c r="IU18" i="4"/>
  <c r="BL19" i="4"/>
  <c r="BQ20" i="4"/>
  <c r="GS20" i="4"/>
  <c r="IV19" i="4"/>
  <c r="IU19" i="4"/>
  <c r="BI17" i="4"/>
  <c r="BM17" i="4"/>
  <c r="BQ17" i="4"/>
  <c r="BU17" i="4"/>
  <c r="BY17" i="4"/>
  <c r="IU14" i="4"/>
  <c r="BK17" i="4"/>
  <c r="BO17" i="4"/>
  <c r="BS17" i="4"/>
  <c r="BW17" i="4"/>
  <c r="BV18" i="4"/>
  <c r="BW18" i="4"/>
  <c r="BW19" i="4"/>
  <c r="BJ20" i="4"/>
  <c r="BN20" i="4"/>
  <c r="BR20" i="4"/>
  <c r="BV20" i="4"/>
  <c r="BK20" i="4"/>
  <c r="BO20" i="4"/>
  <c r="BS20" i="4"/>
  <c r="BW20" i="4"/>
  <c r="IV20" i="4"/>
  <c r="IU20" i="4"/>
  <c r="BL20" i="4"/>
  <c r="BP20" i="4"/>
  <c r="BT20" i="4"/>
  <c r="BX20" i="4"/>
  <c r="CW20" i="4"/>
  <c r="BJ14" i="4"/>
  <c r="BL14" i="4"/>
  <c r="BM14" i="4"/>
  <c r="BR15" i="4"/>
  <c r="BQ15" i="4"/>
  <c r="BS15" i="4"/>
  <c r="BX16" i="4"/>
  <c r="BY16" i="4"/>
  <c r="BW16" i="4"/>
  <c r="CW16" i="4"/>
  <c r="CX16" i="4" s="1"/>
  <c r="IV16" i="4"/>
  <c r="IU16" i="4"/>
  <c r="BK13" i="4"/>
  <c r="BV13" i="4"/>
  <c r="BY13" i="4"/>
  <c r="BI13" i="4"/>
  <c r="BL13" i="4"/>
  <c r="IU13" i="4"/>
  <c r="IV13" i="4"/>
  <c r="IH12" i="4"/>
  <c r="CG12" i="4"/>
  <c r="IV12" i="4"/>
  <c r="IU12" i="4"/>
  <c r="F431" i="5"/>
  <c r="F432" i="5"/>
  <c r="F433" i="5"/>
  <c r="F434" i="5"/>
  <c r="F435" i="5"/>
  <c r="F436" i="5"/>
  <c r="F437" i="5"/>
  <c r="F438" i="5"/>
  <c r="F439" i="5"/>
  <c r="F440" i="5"/>
  <c r="F441" i="5"/>
  <c r="F442" i="5"/>
  <c r="F443" i="5"/>
  <c r="F444" i="5"/>
  <c r="F445" i="5"/>
  <c r="F446" i="5"/>
  <c r="F430" i="5"/>
  <c r="E448" i="5"/>
  <c r="D448" i="5"/>
  <c r="HU16" i="4"/>
  <c r="CG13" i="4"/>
  <c r="IH13" i="4"/>
  <c r="IU11" i="4"/>
  <c r="IV11" i="4"/>
  <c r="IL11" i="4"/>
  <c r="IK11" i="4"/>
  <c r="IJ11" i="4"/>
  <c r="II11" i="4"/>
  <c r="IG11" i="4"/>
  <c r="IE11" i="4"/>
  <c r="AK11" i="4"/>
  <c r="AJ11" i="4"/>
  <c r="AI11" i="4"/>
  <c r="AH11" i="4"/>
  <c r="AG11" i="4"/>
  <c r="AF11" i="4"/>
  <c r="AE11" i="4"/>
  <c r="AD11" i="4"/>
  <c r="AC11" i="4"/>
  <c r="AB11" i="4"/>
  <c r="AA11" i="4"/>
  <c r="Z11" i="4"/>
  <c r="Y11" i="4"/>
  <c r="X11" i="4"/>
  <c r="W11" i="4"/>
  <c r="V11" i="4"/>
  <c r="U11" i="4"/>
  <c r="T11" i="4"/>
  <c r="S11" i="4"/>
  <c r="R11" i="4"/>
  <c r="Q11" i="4"/>
  <c r="P11" i="4"/>
  <c r="O11" i="4"/>
  <c r="N11" i="4"/>
  <c r="M11" i="4"/>
  <c r="L11" i="4"/>
  <c r="K11" i="4"/>
  <c r="J11" i="4"/>
  <c r="I11" i="4"/>
  <c r="H11" i="4"/>
  <c r="G11" i="4"/>
  <c r="F11" i="4"/>
  <c r="E11" i="4"/>
  <c r="D11" i="4"/>
  <c r="E451" i="5"/>
  <c r="G344" i="23"/>
  <c r="G343" i="23"/>
  <c r="N5" i="23"/>
  <c r="N6" i="23"/>
  <c r="N7" i="23"/>
  <c r="N8" i="23"/>
  <c r="N9" i="23"/>
  <c r="N10" i="23"/>
  <c r="N11" i="23"/>
  <c r="N12" i="23"/>
  <c r="N13" i="23"/>
  <c r="N14" i="23"/>
  <c r="N15" i="23"/>
  <c r="N16" i="23"/>
  <c r="N17" i="23"/>
  <c r="N18" i="23"/>
  <c r="N19" i="23"/>
  <c r="N20" i="23"/>
  <c r="N21" i="23"/>
  <c r="N22" i="23"/>
  <c r="N23" i="23"/>
  <c r="N24" i="23"/>
  <c r="N25" i="23"/>
  <c r="N26" i="23"/>
  <c r="N27" i="23"/>
  <c r="N28" i="23"/>
  <c r="N29" i="23"/>
  <c r="N30" i="23"/>
  <c r="N31" i="23"/>
  <c r="N32" i="23"/>
  <c r="N33" i="23"/>
  <c r="N34" i="23"/>
  <c r="N35" i="23"/>
  <c r="N36" i="23"/>
  <c r="N37" i="23"/>
  <c r="N38" i="23"/>
  <c r="N39" i="23"/>
  <c r="N40" i="23"/>
  <c r="N41" i="23"/>
  <c r="N42" i="23"/>
  <c r="N43" i="23"/>
  <c r="N44" i="23"/>
  <c r="N45" i="23"/>
  <c r="N46" i="23"/>
  <c r="N47" i="23"/>
  <c r="N48" i="23"/>
  <c r="N49" i="23"/>
  <c r="N50" i="23"/>
  <c r="N51" i="23"/>
  <c r="N52" i="23"/>
  <c r="N53" i="23"/>
  <c r="N54" i="23"/>
  <c r="N55" i="23"/>
  <c r="N56" i="23"/>
  <c r="N57" i="23"/>
  <c r="N58" i="23"/>
  <c r="N59" i="23"/>
  <c r="N60" i="23"/>
  <c r="N61" i="23"/>
  <c r="N62" i="23"/>
  <c r="N63" i="23"/>
  <c r="N64" i="23"/>
  <c r="N65" i="23"/>
  <c r="N66" i="23"/>
  <c r="N67" i="23"/>
  <c r="N68" i="23"/>
  <c r="N69" i="23"/>
  <c r="N70" i="23"/>
  <c r="N71" i="23"/>
  <c r="N72" i="23"/>
  <c r="N73" i="23"/>
  <c r="N74" i="23"/>
  <c r="N75" i="23"/>
  <c r="N76" i="23"/>
  <c r="N77" i="23"/>
  <c r="N78" i="23"/>
  <c r="N79" i="23"/>
  <c r="N80" i="23"/>
  <c r="N81" i="23"/>
  <c r="N82" i="23"/>
  <c r="N83" i="23"/>
  <c r="N84" i="23"/>
  <c r="N85" i="23"/>
  <c r="N86" i="23"/>
  <c r="N87" i="23"/>
  <c r="N88" i="23"/>
  <c r="N89" i="23"/>
  <c r="N90" i="23"/>
  <c r="N91" i="23"/>
  <c r="N92" i="23"/>
  <c r="N93" i="23"/>
  <c r="N94" i="23"/>
  <c r="N95" i="23"/>
  <c r="N96" i="23"/>
  <c r="N97" i="23"/>
  <c r="N98" i="23"/>
  <c r="N99" i="23"/>
  <c r="N100" i="23"/>
  <c r="N101" i="23"/>
  <c r="N102" i="23"/>
  <c r="N103" i="23"/>
  <c r="N104" i="23"/>
  <c r="N105" i="23"/>
  <c r="N106" i="23"/>
  <c r="N107" i="23"/>
  <c r="N108" i="23"/>
  <c r="N109" i="23"/>
  <c r="N110" i="23"/>
  <c r="N111" i="23"/>
  <c r="N112" i="23"/>
  <c r="N113" i="23"/>
  <c r="N114" i="23"/>
  <c r="N115" i="23"/>
  <c r="N116" i="23"/>
  <c r="N117" i="23"/>
  <c r="N118" i="23"/>
  <c r="N119" i="23"/>
  <c r="N120" i="23"/>
  <c r="N121" i="23"/>
  <c r="N122" i="23"/>
  <c r="N123" i="23"/>
  <c r="N124" i="23"/>
  <c r="N125" i="23"/>
  <c r="N126" i="23"/>
  <c r="N127" i="23"/>
  <c r="N128" i="23"/>
  <c r="N129" i="23"/>
  <c r="N130" i="23"/>
  <c r="N131" i="23"/>
  <c r="N132" i="23"/>
  <c r="N133" i="23"/>
  <c r="N134" i="23"/>
  <c r="N135" i="23"/>
  <c r="N136" i="23"/>
  <c r="N137" i="23"/>
  <c r="N138" i="23"/>
  <c r="N139" i="23"/>
  <c r="N140" i="23"/>
  <c r="N141" i="23"/>
  <c r="I142" i="23"/>
  <c r="I143" i="23" s="1"/>
  <c r="J142" i="23"/>
  <c r="J143" i="23" s="1"/>
  <c r="O142" i="23"/>
  <c r="C143" i="23"/>
  <c r="D143" i="23"/>
  <c r="EK153" i="23" s="1"/>
  <c r="C145" i="23"/>
  <c r="D145" i="23"/>
  <c r="EJ151" i="23"/>
  <c r="EJ152" i="23"/>
  <c r="EJ153" i="23"/>
  <c r="EJ154" i="23"/>
  <c r="C156" i="23"/>
  <c r="D156" i="23"/>
  <c r="E156" i="23"/>
  <c r="F156" i="23"/>
  <c r="G156" i="23"/>
  <c r="H156" i="23"/>
  <c r="I156" i="23"/>
  <c r="I178" i="23" s="1"/>
  <c r="J156" i="23"/>
  <c r="K156" i="23"/>
  <c r="L156" i="23"/>
  <c r="M156" i="23"/>
  <c r="M192" i="23" s="1"/>
  <c r="N156" i="23"/>
  <c r="O156" i="23"/>
  <c r="P156" i="23"/>
  <c r="Q156" i="23"/>
  <c r="R156" i="23"/>
  <c r="S156" i="23"/>
  <c r="T156" i="23"/>
  <c r="U156" i="23"/>
  <c r="U190" i="23" s="1"/>
  <c r="V156" i="23"/>
  <c r="W156" i="23"/>
  <c r="X156" i="23"/>
  <c r="Y156" i="23"/>
  <c r="Z156" i="23"/>
  <c r="AA156" i="23"/>
  <c r="AB156" i="23"/>
  <c r="AC156" i="23"/>
  <c r="AD156" i="23"/>
  <c r="AE156" i="23"/>
  <c r="AF156" i="23"/>
  <c r="AG156" i="23"/>
  <c r="AG189" i="23" s="1"/>
  <c r="AH156" i="23"/>
  <c r="AI156" i="23"/>
  <c r="AJ156" i="23"/>
  <c r="AK156" i="23"/>
  <c r="AL156" i="23"/>
  <c r="AM156" i="23"/>
  <c r="AN156" i="23"/>
  <c r="AO156" i="23"/>
  <c r="AP156" i="23"/>
  <c r="AQ156" i="23"/>
  <c r="AR156" i="23"/>
  <c r="AS156" i="23"/>
  <c r="AT156" i="23"/>
  <c r="AU156" i="23"/>
  <c r="AV156" i="23"/>
  <c r="AW156" i="23"/>
  <c r="AX156" i="23"/>
  <c r="AY156" i="23"/>
  <c r="AZ156" i="23"/>
  <c r="BA156" i="23"/>
  <c r="BB156" i="23"/>
  <c r="BC156" i="23"/>
  <c r="BD156" i="23"/>
  <c r="BE156" i="23"/>
  <c r="BF156" i="23"/>
  <c r="BG156" i="23"/>
  <c r="BH156" i="23"/>
  <c r="BI156" i="23"/>
  <c r="BJ156" i="23"/>
  <c r="BK156" i="23"/>
  <c r="BL156" i="23"/>
  <c r="BM156" i="23"/>
  <c r="BM180" i="23" s="1"/>
  <c r="BN156" i="23"/>
  <c r="BO156" i="23"/>
  <c r="BP156" i="23"/>
  <c r="BQ156" i="23"/>
  <c r="BR156" i="23"/>
  <c r="BS156" i="23"/>
  <c r="BT156" i="23"/>
  <c r="BU156" i="23"/>
  <c r="BV156" i="23"/>
  <c r="BW156" i="23"/>
  <c r="BX156" i="23"/>
  <c r="BY156" i="23"/>
  <c r="BZ156" i="23"/>
  <c r="CA156" i="23"/>
  <c r="CB156" i="23"/>
  <c r="CC156" i="23"/>
  <c r="CD156" i="23"/>
  <c r="CE156" i="23"/>
  <c r="CF156" i="23"/>
  <c r="CG156" i="23"/>
  <c r="CH156" i="23"/>
  <c r="CI156" i="23"/>
  <c r="CJ156" i="23"/>
  <c r="CK156" i="23"/>
  <c r="CL156" i="23"/>
  <c r="CM156" i="23"/>
  <c r="CN156" i="23"/>
  <c r="CO156" i="23"/>
  <c r="CP156" i="23"/>
  <c r="CQ156" i="23"/>
  <c r="CR156" i="23"/>
  <c r="CS156" i="23"/>
  <c r="CS180" i="23" s="1"/>
  <c r="CT156" i="23"/>
  <c r="CU156" i="23"/>
  <c r="CV156" i="23"/>
  <c r="CW156" i="23"/>
  <c r="CX156" i="23"/>
  <c r="CY156" i="23"/>
  <c r="CZ156" i="23"/>
  <c r="DA156" i="23"/>
  <c r="DB156" i="23"/>
  <c r="DC156" i="23"/>
  <c r="DD156" i="23"/>
  <c r="DE156" i="23"/>
  <c r="DF156" i="23"/>
  <c r="DG156" i="23"/>
  <c r="DH156" i="23"/>
  <c r="DI156" i="23"/>
  <c r="DJ156" i="23"/>
  <c r="DK156" i="23"/>
  <c r="DL156" i="23"/>
  <c r="DM156" i="23"/>
  <c r="DN156" i="23"/>
  <c r="DO156" i="23"/>
  <c r="DP156" i="23"/>
  <c r="DQ156" i="23"/>
  <c r="DR156" i="23"/>
  <c r="DS156" i="23"/>
  <c r="DT156" i="23"/>
  <c r="DU156" i="23"/>
  <c r="DV156" i="23"/>
  <c r="DW156" i="23"/>
  <c r="DX156" i="23"/>
  <c r="DY156" i="23"/>
  <c r="DZ156" i="23"/>
  <c r="EA156" i="23"/>
  <c r="EB156" i="23"/>
  <c r="EC156" i="23"/>
  <c r="ED156" i="23"/>
  <c r="EE156" i="23"/>
  <c r="EF156" i="23"/>
  <c r="EG156" i="23"/>
  <c r="EH156" i="23"/>
  <c r="EI156" i="23"/>
  <c r="EJ159" i="23"/>
  <c r="EJ160" i="23"/>
  <c r="EJ161" i="23"/>
  <c r="EJ162" i="23"/>
  <c r="EJ163" i="23"/>
  <c r="EJ164" i="23"/>
  <c r="EJ165" i="23"/>
  <c r="EJ166" i="23"/>
  <c r="EJ167" i="23"/>
  <c r="EJ168" i="23"/>
  <c r="EJ169" i="23"/>
  <c r="EJ170" i="23"/>
  <c r="EJ171" i="23"/>
  <c r="EJ172" i="23"/>
  <c r="EJ173" i="23"/>
  <c r="EJ174" i="23"/>
  <c r="EJ175" i="23"/>
  <c r="C178" i="23"/>
  <c r="D178" i="23"/>
  <c r="G178" i="23"/>
  <c r="H178" i="23"/>
  <c r="K178" i="23"/>
  <c r="L178" i="23"/>
  <c r="M178" i="23"/>
  <c r="N178" i="23"/>
  <c r="O178" i="23"/>
  <c r="P178" i="23"/>
  <c r="Q178" i="23"/>
  <c r="S178" i="23"/>
  <c r="T178" i="23"/>
  <c r="U178" i="23"/>
  <c r="V178" i="23"/>
  <c r="X178" i="23"/>
  <c r="Z178" i="23"/>
  <c r="AA178" i="23"/>
  <c r="AB178" i="23"/>
  <c r="AC178" i="23"/>
  <c r="AD178" i="23"/>
  <c r="AE178" i="23"/>
  <c r="AF178" i="23"/>
  <c r="AG178" i="23"/>
  <c r="AI178" i="23"/>
  <c r="AJ178" i="23"/>
  <c r="AK178" i="23"/>
  <c r="AL178" i="23"/>
  <c r="AM178" i="23"/>
  <c r="AN178" i="23"/>
  <c r="AO178" i="23"/>
  <c r="AP178" i="23"/>
  <c r="AQ178" i="23"/>
  <c r="AR178" i="23"/>
  <c r="AS178" i="23"/>
  <c r="AT178" i="23"/>
  <c r="AU178" i="23"/>
  <c r="AV178" i="23"/>
  <c r="AX178" i="23"/>
  <c r="AZ178" i="23"/>
  <c r="BA178" i="23"/>
  <c r="BC178" i="23"/>
  <c r="BD178" i="23"/>
  <c r="BE178" i="23"/>
  <c r="BF178" i="23"/>
  <c r="BG178" i="23"/>
  <c r="BH178" i="23"/>
  <c r="BI178" i="23"/>
  <c r="BJ178" i="23"/>
  <c r="BL178" i="23"/>
  <c r="BM178" i="23"/>
  <c r="BN178" i="23"/>
  <c r="BO178" i="23"/>
  <c r="BP178" i="23"/>
  <c r="BQ178" i="23"/>
  <c r="BR178" i="23"/>
  <c r="BS178" i="23"/>
  <c r="BT178" i="23"/>
  <c r="BU178" i="23"/>
  <c r="BV178" i="23"/>
  <c r="BW178" i="23"/>
  <c r="BX178" i="23"/>
  <c r="BZ178" i="23"/>
  <c r="CA178" i="23"/>
  <c r="CB178" i="23"/>
  <c r="CC178" i="23"/>
  <c r="CD178" i="23"/>
  <c r="CE178" i="23"/>
  <c r="CF178" i="23"/>
  <c r="CG178" i="23"/>
  <c r="CH178" i="23"/>
  <c r="CI178" i="23"/>
  <c r="CJ178" i="23"/>
  <c r="CL178" i="23"/>
  <c r="CM178" i="23"/>
  <c r="CN178" i="23"/>
  <c r="CO178" i="23"/>
  <c r="CQ178" i="23"/>
  <c r="CR178" i="23"/>
  <c r="CS178" i="23"/>
  <c r="CU178" i="23"/>
  <c r="CV178" i="23"/>
  <c r="CW178" i="23"/>
  <c r="CZ178" i="23"/>
  <c r="DB178" i="23"/>
  <c r="DD178" i="23"/>
  <c r="DF178" i="23"/>
  <c r="DG178" i="23"/>
  <c r="DH178" i="23"/>
  <c r="DI178" i="23"/>
  <c r="DJ178" i="23"/>
  <c r="DL178" i="23"/>
  <c r="DM178" i="23"/>
  <c r="DN178" i="23"/>
  <c r="DO178" i="23"/>
  <c r="DP178" i="23"/>
  <c r="DQ178" i="23"/>
  <c r="DT178" i="23"/>
  <c r="DU178" i="23"/>
  <c r="DV178" i="23"/>
  <c r="DW178" i="23"/>
  <c r="DX178" i="23"/>
  <c r="DY178" i="23"/>
  <c r="DZ178" i="23"/>
  <c r="EA178" i="23"/>
  <c r="EB178" i="23"/>
  <c r="EC178" i="23"/>
  <c r="ED178" i="23"/>
  <c r="EF178" i="23"/>
  <c r="EG178" i="23"/>
  <c r="EH178" i="23"/>
  <c r="EI178" i="23"/>
  <c r="D179" i="23"/>
  <c r="E179" i="23"/>
  <c r="G179" i="23"/>
  <c r="H179" i="23"/>
  <c r="I179" i="23"/>
  <c r="K179" i="23"/>
  <c r="L179" i="23"/>
  <c r="M179" i="23"/>
  <c r="N179" i="23"/>
  <c r="O179" i="23"/>
  <c r="P179" i="23"/>
  <c r="Q179" i="23"/>
  <c r="S179" i="23"/>
  <c r="T179" i="23"/>
  <c r="U179" i="23"/>
  <c r="V179" i="23"/>
  <c r="X179" i="23"/>
  <c r="Z179" i="23"/>
  <c r="AA179" i="23"/>
  <c r="AB179" i="23"/>
  <c r="AD179" i="23"/>
  <c r="AE179" i="23"/>
  <c r="AF179" i="23"/>
  <c r="AG179" i="23"/>
  <c r="AI179" i="23"/>
  <c r="AJ179" i="23"/>
  <c r="AK179" i="23"/>
  <c r="AL179" i="23"/>
  <c r="AM179" i="23"/>
  <c r="AN179" i="23"/>
  <c r="AO179" i="23"/>
  <c r="AP179" i="23"/>
  <c r="AQ179" i="23"/>
  <c r="AR179" i="23"/>
  <c r="AS179" i="23"/>
  <c r="AT179" i="23"/>
  <c r="AU179" i="23"/>
  <c r="AV179" i="23"/>
  <c r="AW179" i="23"/>
  <c r="AX179" i="23"/>
  <c r="AZ179" i="23"/>
  <c r="BC179" i="23"/>
  <c r="BD179" i="23"/>
  <c r="BF179" i="23"/>
  <c r="BH179" i="23"/>
  <c r="BI179" i="23"/>
  <c r="BJ179" i="23"/>
  <c r="BL179" i="23"/>
  <c r="BM179" i="23"/>
  <c r="BN179" i="23"/>
  <c r="BO179" i="23"/>
  <c r="BP179" i="23"/>
  <c r="BQ179" i="23"/>
  <c r="BR179" i="23"/>
  <c r="BS179" i="23"/>
  <c r="BT179" i="23"/>
  <c r="BU179" i="23"/>
  <c r="BV179" i="23"/>
  <c r="BW179" i="23"/>
  <c r="BX179" i="23"/>
  <c r="BY179" i="23"/>
  <c r="BZ179" i="23"/>
  <c r="CB179" i="23"/>
  <c r="CC179" i="23"/>
  <c r="CD179" i="23"/>
  <c r="CE179" i="23"/>
  <c r="CF179" i="23"/>
  <c r="CG179" i="23"/>
  <c r="CH179" i="23"/>
  <c r="CI179" i="23"/>
  <c r="CJ179" i="23"/>
  <c r="CK179" i="23"/>
  <c r="CM179" i="23"/>
  <c r="CN179" i="23"/>
  <c r="CO179" i="23"/>
  <c r="CQ179" i="23"/>
  <c r="CR179" i="23"/>
  <c r="CS179" i="23"/>
  <c r="CT179" i="23"/>
  <c r="CU179" i="23"/>
  <c r="CV179" i="23"/>
  <c r="CW179" i="23"/>
  <c r="CZ179" i="23"/>
  <c r="DB179" i="23"/>
  <c r="DD179" i="23"/>
  <c r="DF179" i="23"/>
  <c r="DG179" i="23"/>
  <c r="DH179" i="23"/>
  <c r="DI179" i="23"/>
  <c r="DJ179" i="23"/>
  <c r="DL179" i="23"/>
  <c r="DM179" i="23"/>
  <c r="DN179" i="23"/>
  <c r="DO179" i="23"/>
  <c r="DP179" i="23"/>
  <c r="DQ179" i="23"/>
  <c r="DR179" i="23"/>
  <c r="DS179" i="23"/>
  <c r="DT179" i="23"/>
  <c r="DU179" i="23"/>
  <c r="DV179" i="23"/>
  <c r="DW179" i="23"/>
  <c r="DX179" i="23"/>
  <c r="DY179" i="23"/>
  <c r="DZ179" i="23"/>
  <c r="EB179" i="23"/>
  <c r="EC179" i="23"/>
  <c r="ED179" i="23"/>
  <c r="EE179" i="23"/>
  <c r="EF179" i="23"/>
  <c r="EG179" i="23"/>
  <c r="EH179" i="23"/>
  <c r="EI179" i="23"/>
  <c r="D180" i="23"/>
  <c r="E180" i="23"/>
  <c r="F180" i="23"/>
  <c r="G180" i="23"/>
  <c r="H180" i="23"/>
  <c r="I180" i="23"/>
  <c r="J180" i="23"/>
  <c r="L180" i="23"/>
  <c r="M180" i="23"/>
  <c r="N180" i="23"/>
  <c r="O180" i="23"/>
  <c r="P180" i="23"/>
  <c r="R180" i="23"/>
  <c r="S180" i="23"/>
  <c r="T180" i="23"/>
  <c r="U180" i="23"/>
  <c r="W180" i="23"/>
  <c r="X180" i="23"/>
  <c r="Y180" i="23"/>
  <c r="Z180" i="23"/>
  <c r="AA180" i="23"/>
  <c r="AB180" i="23"/>
  <c r="AD180" i="23"/>
  <c r="AF180" i="23"/>
  <c r="AG180" i="23"/>
  <c r="AI180" i="23"/>
  <c r="AJ180" i="23"/>
  <c r="AK180" i="23"/>
  <c r="AL180" i="23"/>
  <c r="AM180" i="23"/>
  <c r="AN180" i="23"/>
  <c r="AO180" i="23"/>
  <c r="AR180" i="23"/>
  <c r="AS180" i="23"/>
  <c r="AT180" i="23"/>
  <c r="AV180" i="23"/>
  <c r="AW180" i="23"/>
  <c r="AX180" i="23"/>
  <c r="AZ180" i="23"/>
  <c r="BA180" i="23"/>
  <c r="BC180" i="23"/>
  <c r="BD180" i="23"/>
  <c r="BE180" i="23"/>
  <c r="BF180" i="23"/>
  <c r="BG180" i="23"/>
  <c r="BH180" i="23"/>
  <c r="BK180" i="23"/>
  <c r="BL180" i="23"/>
  <c r="BN180" i="23"/>
  <c r="BO180" i="23"/>
  <c r="BP180" i="23"/>
  <c r="BQ180" i="23"/>
  <c r="BR180" i="23"/>
  <c r="BS180" i="23"/>
  <c r="BT180" i="23"/>
  <c r="BU180" i="23"/>
  <c r="BV180" i="23"/>
  <c r="BW180" i="23"/>
  <c r="BX180" i="23"/>
  <c r="BY180" i="23"/>
  <c r="CB180" i="23"/>
  <c r="CC180" i="23"/>
  <c r="CD180" i="23"/>
  <c r="CE180" i="23"/>
  <c r="CF180" i="23"/>
  <c r="CG180" i="23"/>
  <c r="CI180" i="23"/>
  <c r="CJ180" i="23"/>
  <c r="CM180" i="23"/>
  <c r="CN180" i="23"/>
  <c r="CP180" i="23"/>
  <c r="CQ180" i="23"/>
  <c r="CR180" i="23"/>
  <c r="CT180" i="23"/>
  <c r="CU180" i="23"/>
  <c r="CV180" i="23"/>
  <c r="CW180" i="23"/>
  <c r="CY180" i="23"/>
  <c r="CZ180" i="23"/>
  <c r="DD180" i="23"/>
  <c r="DF180" i="23"/>
  <c r="DG180" i="23"/>
  <c r="DH180" i="23"/>
  <c r="DI180" i="23"/>
  <c r="DJ180" i="23"/>
  <c r="DL180" i="23"/>
  <c r="DM180" i="23"/>
  <c r="DN180" i="23"/>
  <c r="DP180" i="23"/>
  <c r="DQ180" i="23"/>
  <c r="DS180" i="23"/>
  <c r="DT180" i="23"/>
  <c r="DU180" i="23"/>
  <c r="DV180" i="23"/>
  <c r="DW180" i="23"/>
  <c r="DX180" i="23"/>
  <c r="DY180" i="23"/>
  <c r="DZ180" i="23"/>
  <c r="EA180" i="23"/>
  <c r="EB180" i="23"/>
  <c r="EC180" i="23"/>
  <c r="ED180" i="23"/>
  <c r="EF180" i="23"/>
  <c r="EG180" i="23"/>
  <c r="EH180" i="23"/>
  <c r="EI180" i="23"/>
  <c r="C181" i="23"/>
  <c r="D181" i="23"/>
  <c r="E181" i="23"/>
  <c r="F181" i="23"/>
  <c r="G181" i="23"/>
  <c r="H181" i="23"/>
  <c r="I181" i="23"/>
  <c r="J181" i="23"/>
  <c r="K181" i="23"/>
  <c r="L181" i="23"/>
  <c r="M181" i="23"/>
  <c r="N181" i="23"/>
  <c r="P181" i="23"/>
  <c r="R181" i="23"/>
  <c r="S181" i="23"/>
  <c r="T181" i="23"/>
  <c r="U181" i="23"/>
  <c r="W181" i="23"/>
  <c r="X181" i="23"/>
  <c r="Y181" i="23"/>
  <c r="Z181" i="23"/>
  <c r="AA181" i="23"/>
  <c r="AB181" i="23"/>
  <c r="AC181" i="23"/>
  <c r="AD181" i="23"/>
  <c r="AF181" i="23"/>
  <c r="AG181" i="23"/>
  <c r="AI181" i="23"/>
  <c r="AJ181" i="23"/>
  <c r="AK181" i="23"/>
  <c r="AL181" i="23"/>
  <c r="AM181" i="23"/>
  <c r="AN181" i="23"/>
  <c r="AO181" i="23"/>
  <c r="AP181" i="23"/>
  <c r="AQ181" i="23"/>
  <c r="AR181" i="23"/>
  <c r="AS181" i="23"/>
  <c r="AU181" i="23"/>
  <c r="AV181" i="23"/>
  <c r="AW181" i="23"/>
  <c r="AX181" i="23"/>
  <c r="AZ181" i="23"/>
  <c r="BD181" i="23"/>
  <c r="BE181" i="23"/>
  <c r="BF181" i="23"/>
  <c r="BH181" i="23"/>
  <c r="BK181" i="23"/>
  <c r="BL181" i="23"/>
  <c r="BM181" i="23"/>
  <c r="BN181" i="23"/>
  <c r="BO181" i="23"/>
  <c r="BP181" i="23"/>
  <c r="BR181" i="23"/>
  <c r="BT181" i="23"/>
  <c r="BU181" i="23"/>
  <c r="BV181" i="23"/>
  <c r="BW181" i="23"/>
  <c r="BX181" i="23"/>
  <c r="BY181" i="23"/>
  <c r="CA181" i="23"/>
  <c r="CB181" i="23"/>
  <c r="CC181" i="23"/>
  <c r="CD181" i="23"/>
  <c r="CE181" i="23"/>
  <c r="CF181" i="23"/>
  <c r="CG181" i="23"/>
  <c r="CH181" i="23"/>
  <c r="CI181" i="23"/>
  <c r="CJ181" i="23"/>
  <c r="CK181" i="23"/>
  <c r="CN181" i="23"/>
  <c r="CR181" i="23"/>
  <c r="CS181" i="23"/>
  <c r="CT181" i="23"/>
  <c r="CU181" i="23"/>
  <c r="CV181" i="23"/>
  <c r="CW181" i="23"/>
  <c r="CX181" i="23"/>
  <c r="CY181" i="23"/>
  <c r="CZ181" i="23"/>
  <c r="DA181" i="23"/>
  <c r="DB181" i="23"/>
  <c r="DD181" i="23"/>
  <c r="DE181" i="23"/>
  <c r="DF181" i="23"/>
  <c r="DG181" i="23"/>
  <c r="DH181" i="23"/>
  <c r="DI181" i="23"/>
  <c r="DJ181" i="23"/>
  <c r="DL181" i="23"/>
  <c r="DM181" i="23"/>
  <c r="DN181" i="23"/>
  <c r="DP181" i="23"/>
  <c r="DQ181" i="23"/>
  <c r="DR181" i="23"/>
  <c r="DS181" i="23"/>
  <c r="DT181" i="23"/>
  <c r="DW181" i="23"/>
  <c r="DX181" i="23"/>
  <c r="DY181" i="23"/>
  <c r="DZ181" i="23"/>
  <c r="EB181" i="23"/>
  <c r="EC181" i="23"/>
  <c r="EF181" i="23"/>
  <c r="C182" i="23"/>
  <c r="D182" i="23"/>
  <c r="E182" i="23"/>
  <c r="F182" i="23"/>
  <c r="H182" i="23"/>
  <c r="I182" i="23"/>
  <c r="J182" i="23"/>
  <c r="K182" i="23"/>
  <c r="L182" i="23"/>
  <c r="M182" i="23"/>
  <c r="N182" i="23"/>
  <c r="O182" i="23"/>
  <c r="P182" i="23"/>
  <c r="Q182" i="23"/>
  <c r="R182" i="23"/>
  <c r="S182" i="23"/>
  <c r="T182" i="23"/>
  <c r="U182" i="23"/>
  <c r="V182" i="23"/>
  <c r="W182" i="23"/>
  <c r="X182" i="23"/>
  <c r="Y182" i="23"/>
  <c r="Z182" i="23"/>
  <c r="AA182" i="23"/>
  <c r="AB182" i="23"/>
  <c r="AC182" i="23"/>
  <c r="AD182" i="23"/>
  <c r="AE182" i="23"/>
  <c r="AF182" i="23"/>
  <c r="AG182" i="23"/>
  <c r="AH182" i="23"/>
  <c r="AI182" i="23"/>
  <c r="AJ182" i="23"/>
  <c r="AK182" i="23"/>
  <c r="AL182" i="23"/>
  <c r="AM182" i="23"/>
  <c r="AN182" i="23"/>
  <c r="AO182" i="23"/>
  <c r="AP182" i="23"/>
  <c r="AQ182" i="23"/>
  <c r="AR182" i="23"/>
  <c r="AU182" i="23"/>
  <c r="AV182" i="23"/>
  <c r="AW182" i="23"/>
  <c r="AZ182" i="23"/>
  <c r="BA182" i="23"/>
  <c r="BD182" i="23"/>
  <c r="BE182" i="23"/>
  <c r="BF182" i="23"/>
  <c r="BH182" i="23"/>
  <c r="BI182" i="23"/>
  <c r="BJ182" i="23"/>
  <c r="BK182" i="23"/>
  <c r="BL182" i="23"/>
  <c r="BM182" i="23"/>
  <c r="BN182" i="23"/>
  <c r="BO182" i="23"/>
  <c r="BP182" i="23"/>
  <c r="BQ182" i="23"/>
  <c r="BR182" i="23"/>
  <c r="BS182" i="23"/>
  <c r="BT182" i="23"/>
  <c r="BU182" i="23"/>
  <c r="BV182" i="23"/>
  <c r="BW182" i="23"/>
  <c r="BX182" i="23"/>
  <c r="BY182" i="23"/>
  <c r="CA182" i="23"/>
  <c r="CB182" i="23"/>
  <c r="CC182" i="23"/>
  <c r="CD182" i="23"/>
  <c r="CE182" i="23"/>
  <c r="CF182" i="23"/>
  <c r="CG182" i="23"/>
  <c r="CH182" i="23"/>
  <c r="CI182" i="23"/>
  <c r="CJ182" i="23"/>
  <c r="CK182" i="23"/>
  <c r="CM182" i="23"/>
  <c r="CN182" i="23"/>
  <c r="CP182" i="23"/>
  <c r="CQ182" i="23"/>
  <c r="CR182" i="23"/>
  <c r="CS182" i="23"/>
  <c r="CT182" i="23"/>
  <c r="CU182" i="23"/>
  <c r="CV182" i="23"/>
  <c r="CX182" i="23"/>
  <c r="CY182" i="23"/>
  <c r="CZ182" i="23"/>
  <c r="DA182" i="23"/>
  <c r="DD182" i="23"/>
  <c r="DF182" i="23"/>
  <c r="DH182" i="23"/>
  <c r="DI182" i="23"/>
  <c r="DJ182" i="23"/>
  <c r="DL182" i="23"/>
  <c r="DM182" i="23"/>
  <c r="DO182" i="23"/>
  <c r="DP182" i="23"/>
  <c r="DQ182" i="23"/>
  <c r="DR182" i="23"/>
  <c r="DS182" i="23"/>
  <c r="DT182" i="23"/>
  <c r="DU182" i="23"/>
  <c r="DV182" i="23"/>
  <c r="DW182" i="23"/>
  <c r="DX182" i="23"/>
  <c r="DY182" i="23"/>
  <c r="DZ182" i="23"/>
  <c r="EA182" i="23"/>
  <c r="EB182" i="23"/>
  <c r="EC182" i="23"/>
  <c r="EF182" i="23"/>
  <c r="EG182" i="23"/>
  <c r="EH182" i="23"/>
  <c r="C183" i="23"/>
  <c r="D183" i="23"/>
  <c r="E183" i="23"/>
  <c r="F183" i="23"/>
  <c r="H183" i="23"/>
  <c r="I183" i="23"/>
  <c r="J183" i="23"/>
  <c r="K183" i="23"/>
  <c r="L183" i="23"/>
  <c r="M183" i="23"/>
  <c r="O183" i="23"/>
  <c r="P183" i="23"/>
  <c r="Q183" i="23"/>
  <c r="R183" i="23"/>
  <c r="S183" i="23"/>
  <c r="T183" i="23"/>
  <c r="U183" i="23"/>
  <c r="V183" i="23"/>
  <c r="X183" i="23"/>
  <c r="Y183" i="23"/>
  <c r="Z183" i="23"/>
  <c r="AA183" i="23"/>
  <c r="AB183" i="23"/>
  <c r="AC183" i="23"/>
  <c r="AD183" i="23"/>
  <c r="AE183" i="23"/>
  <c r="AF183" i="23"/>
  <c r="AG183" i="23"/>
  <c r="AI183" i="23"/>
  <c r="AJ183" i="23"/>
  <c r="AK183" i="23"/>
  <c r="AL183" i="23"/>
  <c r="AM183" i="23"/>
  <c r="AN183" i="23"/>
  <c r="AO183" i="23"/>
  <c r="AP183" i="23"/>
  <c r="AQ183" i="23"/>
  <c r="AR183" i="23"/>
  <c r="AS183" i="23"/>
  <c r="AU183" i="23"/>
  <c r="AV183" i="23"/>
  <c r="AW183" i="23"/>
  <c r="AZ183" i="23"/>
  <c r="BB183" i="23"/>
  <c r="BD183" i="23"/>
  <c r="BE183" i="23"/>
  <c r="BF183" i="23"/>
  <c r="BH183" i="23"/>
  <c r="BI183" i="23"/>
  <c r="BJ183" i="23"/>
  <c r="BK183" i="23"/>
  <c r="BL183" i="23"/>
  <c r="BM183" i="23"/>
  <c r="BN183" i="23"/>
  <c r="BO183" i="23"/>
  <c r="BP183" i="23"/>
  <c r="BQ183" i="23"/>
  <c r="BR183" i="23"/>
  <c r="BS183" i="23"/>
  <c r="BT183" i="23"/>
  <c r="BU183" i="23"/>
  <c r="BV183" i="23"/>
  <c r="BW183" i="23"/>
  <c r="BX183" i="23"/>
  <c r="BY183" i="23"/>
  <c r="BZ183" i="23"/>
  <c r="CA183" i="23"/>
  <c r="CB183" i="23"/>
  <c r="CC183" i="23"/>
  <c r="CD183" i="23"/>
  <c r="CE183" i="23"/>
  <c r="CF183" i="23"/>
  <c r="CG183" i="23"/>
  <c r="CH183" i="23"/>
  <c r="CI183" i="23"/>
  <c r="CJ183" i="23"/>
  <c r="CK183" i="23"/>
  <c r="CL183" i="23"/>
  <c r="CN183" i="23"/>
  <c r="CO183" i="23"/>
  <c r="CQ183" i="23"/>
  <c r="CR183" i="23"/>
  <c r="CS183" i="23"/>
  <c r="CT183" i="23"/>
  <c r="CU183" i="23"/>
  <c r="CV183" i="23"/>
  <c r="CX183" i="23"/>
  <c r="CY183" i="23"/>
  <c r="CZ183" i="23"/>
  <c r="DA183" i="23"/>
  <c r="DD183" i="23"/>
  <c r="DF183" i="23"/>
  <c r="DH183" i="23"/>
  <c r="DI183" i="23"/>
  <c r="DJ183" i="23"/>
  <c r="DL183" i="23"/>
  <c r="DM183" i="23"/>
  <c r="DN183" i="23"/>
  <c r="DO183" i="23"/>
  <c r="DP183" i="23"/>
  <c r="DR183" i="23"/>
  <c r="DS183" i="23"/>
  <c r="DT183" i="23"/>
  <c r="DV183" i="23"/>
  <c r="DW183" i="23"/>
  <c r="DX183" i="23"/>
  <c r="DY183" i="23"/>
  <c r="DZ183" i="23"/>
  <c r="EA183" i="23"/>
  <c r="EB183" i="23"/>
  <c r="EC183" i="23"/>
  <c r="ED183" i="23"/>
  <c r="EF183" i="23"/>
  <c r="EG183" i="23"/>
  <c r="C184" i="23"/>
  <c r="D184" i="23"/>
  <c r="E184" i="23"/>
  <c r="F184" i="23"/>
  <c r="H184" i="23"/>
  <c r="I184" i="23"/>
  <c r="J184" i="23"/>
  <c r="K184" i="23"/>
  <c r="L184" i="23"/>
  <c r="M184" i="23"/>
  <c r="O184" i="23"/>
  <c r="P184" i="23"/>
  <c r="Q184" i="23"/>
  <c r="R184" i="23"/>
  <c r="S184" i="23"/>
  <c r="T184" i="23"/>
  <c r="U184" i="23"/>
  <c r="V184" i="23"/>
  <c r="W184" i="23"/>
  <c r="X184" i="23"/>
  <c r="Y184" i="23"/>
  <c r="AA184" i="23"/>
  <c r="AB184" i="23"/>
  <c r="AC184" i="23"/>
  <c r="AD184" i="23"/>
  <c r="AE184" i="23"/>
  <c r="AF184" i="23"/>
  <c r="AG184" i="23"/>
  <c r="AH184" i="23"/>
  <c r="AI184" i="23"/>
  <c r="AJ184" i="23"/>
  <c r="AK184" i="23"/>
  <c r="AM184" i="23"/>
  <c r="AN184" i="23"/>
  <c r="AQ184" i="23"/>
  <c r="AR184" i="23"/>
  <c r="AS184" i="23"/>
  <c r="AT184" i="23"/>
  <c r="AV184" i="23"/>
  <c r="AX184" i="23"/>
  <c r="AZ184" i="23"/>
  <c r="BA184" i="23"/>
  <c r="BD184" i="23"/>
  <c r="BF184" i="23"/>
  <c r="BH184" i="23"/>
  <c r="BI184" i="23"/>
  <c r="BJ184" i="23"/>
  <c r="BK184" i="23"/>
  <c r="BL184" i="23"/>
  <c r="BM184" i="23"/>
  <c r="BN184" i="23"/>
  <c r="BO184" i="23"/>
  <c r="BP184" i="23"/>
  <c r="BQ184" i="23"/>
  <c r="BS184" i="23"/>
  <c r="BT184" i="23"/>
  <c r="BU184" i="23"/>
  <c r="BW184" i="23"/>
  <c r="BX184" i="23"/>
  <c r="BY184" i="23"/>
  <c r="BZ184" i="23"/>
  <c r="CA184" i="23"/>
  <c r="CB184" i="23"/>
  <c r="CC184" i="23"/>
  <c r="CE184" i="23"/>
  <c r="CF184" i="23"/>
  <c r="CG184" i="23"/>
  <c r="CH184" i="23"/>
  <c r="CI184" i="23"/>
  <c r="CJ184" i="23"/>
  <c r="CL184" i="23"/>
  <c r="CM184" i="23"/>
  <c r="CN184" i="23"/>
  <c r="CQ184" i="23"/>
  <c r="CR184" i="23"/>
  <c r="CS184" i="23"/>
  <c r="CT184" i="23"/>
  <c r="CU184" i="23"/>
  <c r="CV184" i="23"/>
  <c r="CY184" i="23"/>
  <c r="CZ184" i="23"/>
  <c r="DA184" i="23"/>
  <c r="DD184" i="23"/>
  <c r="DH184" i="23"/>
  <c r="DI184" i="23"/>
  <c r="DL184" i="23"/>
  <c r="DM184" i="23"/>
  <c r="DN184" i="23"/>
  <c r="DO184" i="23"/>
  <c r="DP184" i="23"/>
  <c r="DQ184" i="23"/>
  <c r="DR184" i="23"/>
  <c r="DS184" i="23"/>
  <c r="DT184" i="23"/>
  <c r="DU184" i="23"/>
  <c r="DV184" i="23"/>
  <c r="DW184" i="23"/>
  <c r="DX184" i="23"/>
  <c r="DY184" i="23"/>
  <c r="DZ184" i="23"/>
  <c r="EA184" i="23"/>
  <c r="EB184" i="23"/>
  <c r="EC184" i="23"/>
  <c r="ED184" i="23"/>
  <c r="EF184" i="23"/>
  <c r="EH184" i="23"/>
  <c r="C185" i="23"/>
  <c r="D185" i="23"/>
  <c r="E185" i="23"/>
  <c r="F185" i="23"/>
  <c r="G185" i="23"/>
  <c r="H185" i="23"/>
  <c r="I185" i="23"/>
  <c r="J185" i="23"/>
  <c r="K185" i="23"/>
  <c r="L185" i="23"/>
  <c r="M185" i="23"/>
  <c r="O185" i="23"/>
  <c r="P185" i="23"/>
  <c r="Q185" i="23"/>
  <c r="R185" i="23"/>
  <c r="S185" i="23"/>
  <c r="T185" i="23"/>
  <c r="U185" i="23"/>
  <c r="V185" i="23"/>
  <c r="W185" i="23"/>
  <c r="X185" i="23"/>
  <c r="Y185" i="23"/>
  <c r="AA185" i="23"/>
  <c r="AB185" i="23"/>
  <c r="AC185" i="23"/>
  <c r="AD185" i="23"/>
  <c r="AE185" i="23"/>
  <c r="AF185" i="23"/>
  <c r="AG185" i="23"/>
  <c r="AI185" i="23"/>
  <c r="AJ185" i="23"/>
  <c r="AK185" i="23"/>
  <c r="AM185" i="23"/>
  <c r="AN185" i="23"/>
  <c r="AP185" i="23"/>
  <c r="AQ185" i="23"/>
  <c r="AR185" i="23"/>
  <c r="AT185" i="23"/>
  <c r="AV185" i="23"/>
  <c r="AW185" i="23"/>
  <c r="AX185" i="23"/>
  <c r="AZ185" i="23"/>
  <c r="BD185" i="23"/>
  <c r="BE185" i="23"/>
  <c r="BH185" i="23"/>
  <c r="BI185" i="23"/>
  <c r="BJ185" i="23"/>
  <c r="BK185" i="23"/>
  <c r="BL185" i="23"/>
  <c r="BM185" i="23"/>
  <c r="BN185" i="23"/>
  <c r="BO185" i="23"/>
  <c r="BP185" i="23"/>
  <c r="BQ185" i="23"/>
  <c r="BR185" i="23"/>
  <c r="BS185" i="23"/>
  <c r="BT185" i="23"/>
  <c r="BU185" i="23"/>
  <c r="BW185" i="23"/>
  <c r="BX185" i="23"/>
  <c r="BY185" i="23"/>
  <c r="BZ185" i="23"/>
  <c r="CA185" i="23"/>
  <c r="CB185" i="23"/>
  <c r="CC185" i="23"/>
  <c r="CE185" i="23"/>
  <c r="CF185" i="23"/>
  <c r="CG185" i="23"/>
  <c r="CH185" i="23"/>
  <c r="CJ185" i="23"/>
  <c r="CK185" i="23"/>
  <c r="CL185" i="23"/>
  <c r="CM185" i="23"/>
  <c r="CN185" i="23"/>
  <c r="CO185" i="23"/>
  <c r="CP185" i="23"/>
  <c r="CQ185" i="23"/>
  <c r="CR185" i="23"/>
  <c r="CS185" i="23"/>
  <c r="CT185" i="23"/>
  <c r="CU185" i="23"/>
  <c r="CV185" i="23"/>
  <c r="CW185" i="23"/>
  <c r="CY185" i="23"/>
  <c r="CZ185" i="23"/>
  <c r="DA185" i="23"/>
  <c r="DD185" i="23"/>
  <c r="DF185" i="23"/>
  <c r="DH185" i="23"/>
  <c r="DI185" i="23"/>
  <c r="DL185" i="23"/>
  <c r="DM185" i="23"/>
  <c r="DN185" i="23"/>
  <c r="DO185" i="23"/>
  <c r="DP185" i="23"/>
  <c r="DR185" i="23"/>
  <c r="DS185" i="23"/>
  <c r="DT185" i="23"/>
  <c r="DU185" i="23"/>
  <c r="DV185" i="23"/>
  <c r="DW185" i="23"/>
  <c r="DX185" i="23"/>
  <c r="DY185" i="23"/>
  <c r="DZ185" i="23"/>
  <c r="EA185" i="23"/>
  <c r="EB185" i="23"/>
  <c r="EC185" i="23"/>
  <c r="ED185" i="23"/>
  <c r="EF185" i="23"/>
  <c r="EG185" i="23"/>
  <c r="EH185" i="23"/>
  <c r="C186" i="23"/>
  <c r="D186" i="23"/>
  <c r="E186" i="23"/>
  <c r="F186" i="23"/>
  <c r="H186" i="23"/>
  <c r="I186" i="23"/>
  <c r="J186" i="23"/>
  <c r="K186" i="23"/>
  <c r="L186" i="23"/>
  <c r="M186" i="23"/>
  <c r="O186" i="23"/>
  <c r="P186" i="23"/>
  <c r="Q186" i="23"/>
  <c r="R186" i="23"/>
  <c r="S186" i="23"/>
  <c r="T186" i="23"/>
  <c r="U186" i="23"/>
  <c r="V186" i="23"/>
  <c r="W186" i="23"/>
  <c r="X186" i="23"/>
  <c r="Y186" i="23"/>
  <c r="AA186" i="23"/>
  <c r="AB186" i="23"/>
  <c r="AC186" i="23"/>
  <c r="AD186" i="23"/>
  <c r="AE186" i="23"/>
  <c r="AF186" i="23"/>
  <c r="AG186" i="23"/>
  <c r="AI186" i="23"/>
  <c r="AJ186" i="23"/>
  <c r="AK186" i="23"/>
  <c r="AM186" i="23"/>
  <c r="AN186" i="23"/>
  <c r="AO186" i="23"/>
  <c r="AQ186" i="23"/>
  <c r="AR186" i="23"/>
  <c r="AT186" i="23"/>
  <c r="AU186" i="23"/>
  <c r="AV186" i="23"/>
  <c r="AW186" i="23"/>
  <c r="AZ186" i="23"/>
  <c r="BA186" i="23"/>
  <c r="BD186" i="23"/>
  <c r="BF186" i="23"/>
  <c r="BH186" i="23"/>
  <c r="BI186" i="23"/>
  <c r="BJ186" i="23"/>
  <c r="BK186" i="23"/>
  <c r="BL186" i="23"/>
  <c r="BM186" i="23"/>
  <c r="BN186" i="23"/>
  <c r="BO186" i="23"/>
  <c r="BP186" i="23"/>
  <c r="BQ186" i="23"/>
  <c r="BS186" i="23"/>
  <c r="BT186" i="23"/>
  <c r="BU186" i="23"/>
  <c r="BW186" i="23"/>
  <c r="BX186" i="23"/>
  <c r="BY186" i="23"/>
  <c r="BZ186" i="23"/>
  <c r="CA186" i="23"/>
  <c r="CB186" i="23"/>
  <c r="CC186" i="23"/>
  <c r="CE186" i="23"/>
  <c r="CF186" i="23"/>
  <c r="CG186" i="23"/>
  <c r="CH186" i="23"/>
  <c r="CI186" i="23"/>
  <c r="CJ186" i="23"/>
  <c r="CK186" i="23"/>
  <c r="CL186" i="23"/>
  <c r="CM186" i="23"/>
  <c r="CN186" i="23"/>
  <c r="CP186" i="23"/>
  <c r="CQ186" i="23"/>
  <c r="CR186" i="23"/>
  <c r="CS186" i="23"/>
  <c r="CT186" i="23"/>
  <c r="CU186" i="23"/>
  <c r="CV186" i="23"/>
  <c r="CY186" i="23"/>
  <c r="CZ186" i="23"/>
  <c r="DA186" i="23"/>
  <c r="DD186" i="23"/>
  <c r="DE186" i="23"/>
  <c r="DH186" i="23"/>
  <c r="DI186" i="23"/>
  <c r="DL186" i="23"/>
  <c r="DM186" i="23"/>
  <c r="DN186" i="23"/>
  <c r="DO186" i="23"/>
  <c r="DP186" i="23"/>
  <c r="DQ186" i="23"/>
  <c r="DR186" i="23"/>
  <c r="DS186" i="23"/>
  <c r="DT186" i="23"/>
  <c r="DU186" i="23"/>
  <c r="DV186" i="23"/>
  <c r="DW186" i="23"/>
  <c r="DX186" i="23"/>
  <c r="DY186" i="23"/>
  <c r="DZ186" i="23"/>
  <c r="EA186" i="23"/>
  <c r="EB186" i="23"/>
  <c r="EC186" i="23"/>
  <c r="ED186" i="23"/>
  <c r="EF186" i="23"/>
  <c r="C187" i="23"/>
  <c r="D187" i="23"/>
  <c r="E187" i="23"/>
  <c r="F187" i="23"/>
  <c r="H187" i="23"/>
  <c r="I187" i="23"/>
  <c r="J187" i="23"/>
  <c r="K187" i="23"/>
  <c r="L187" i="23"/>
  <c r="M187" i="23"/>
  <c r="N187" i="23"/>
  <c r="O187" i="23"/>
  <c r="P187" i="23"/>
  <c r="Q187" i="23"/>
  <c r="R187" i="23"/>
  <c r="T187" i="23"/>
  <c r="U187" i="23"/>
  <c r="V187" i="23"/>
  <c r="W187" i="23"/>
  <c r="X187" i="23"/>
  <c r="Y187" i="23"/>
  <c r="AB187" i="23"/>
  <c r="AC187" i="23"/>
  <c r="AD187" i="23"/>
  <c r="AE187" i="23"/>
  <c r="AF187" i="23"/>
  <c r="AG187" i="23"/>
  <c r="AI187" i="23"/>
  <c r="AJ187" i="23"/>
  <c r="AL187" i="23"/>
  <c r="AN187" i="23"/>
  <c r="AO187" i="23"/>
  <c r="AP187" i="23"/>
  <c r="AQ187" i="23"/>
  <c r="AR187" i="23"/>
  <c r="AS187" i="23"/>
  <c r="AT187" i="23"/>
  <c r="AV187" i="23"/>
  <c r="AW187" i="23"/>
  <c r="AX187" i="23"/>
  <c r="AZ187" i="23"/>
  <c r="BA187" i="23"/>
  <c r="BD187" i="23"/>
  <c r="BE187" i="23"/>
  <c r="BF187" i="23"/>
  <c r="BG187" i="23"/>
  <c r="BH187" i="23"/>
  <c r="BI187" i="23"/>
  <c r="BJ187" i="23"/>
  <c r="BK187" i="23"/>
  <c r="BL187" i="23"/>
  <c r="BM187" i="23"/>
  <c r="BO187" i="23"/>
  <c r="BP187" i="23"/>
  <c r="BQ187" i="23"/>
  <c r="BR187" i="23"/>
  <c r="BS187" i="23"/>
  <c r="BT187" i="23"/>
  <c r="BV187" i="23"/>
  <c r="BW187" i="23"/>
  <c r="BX187" i="23"/>
  <c r="BY187" i="23"/>
  <c r="BZ187" i="23"/>
  <c r="CA187" i="23"/>
  <c r="CB187" i="23"/>
  <c r="CD187" i="23"/>
  <c r="CE187" i="23"/>
  <c r="CF187" i="23"/>
  <c r="CG187" i="23"/>
  <c r="CH187" i="23"/>
  <c r="CI187" i="23"/>
  <c r="CJ187" i="23"/>
  <c r="CK187" i="23"/>
  <c r="CL187" i="23"/>
  <c r="CM187" i="23"/>
  <c r="CN187" i="23"/>
  <c r="CP187" i="23"/>
  <c r="CQ187" i="23"/>
  <c r="CR187" i="23"/>
  <c r="CS187" i="23"/>
  <c r="CT187" i="23"/>
  <c r="CU187" i="23"/>
  <c r="CV187" i="23"/>
  <c r="CY187" i="23"/>
  <c r="CZ187" i="23"/>
  <c r="DA187" i="23"/>
  <c r="DD187" i="23"/>
  <c r="DE187" i="23"/>
  <c r="DF187" i="23"/>
  <c r="DG187" i="23"/>
  <c r="DH187" i="23"/>
  <c r="DI187" i="23"/>
  <c r="DJ187" i="23"/>
  <c r="DL187" i="23"/>
  <c r="DM187" i="23"/>
  <c r="DN187" i="23"/>
  <c r="DO187" i="23"/>
  <c r="DP187" i="23"/>
  <c r="DQ187" i="23"/>
  <c r="DR187" i="23"/>
  <c r="DS187" i="23"/>
  <c r="DT187" i="23"/>
  <c r="DU187" i="23"/>
  <c r="DV187" i="23"/>
  <c r="DW187" i="23"/>
  <c r="DX187" i="23"/>
  <c r="DY187" i="23"/>
  <c r="DZ187" i="23"/>
  <c r="EA187" i="23"/>
  <c r="EB187" i="23"/>
  <c r="EC187" i="23"/>
  <c r="ED187" i="23"/>
  <c r="EF187" i="23"/>
  <c r="C188" i="23"/>
  <c r="D188" i="23"/>
  <c r="E188" i="23"/>
  <c r="F188" i="23"/>
  <c r="G188" i="23"/>
  <c r="H188" i="23"/>
  <c r="I188" i="23"/>
  <c r="J188" i="23"/>
  <c r="K188" i="23"/>
  <c r="L188" i="23"/>
  <c r="M188" i="23"/>
  <c r="O188" i="23"/>
  <c r="P188" i="23"/>
  <c r="Q188" i="23"/>
  <c r="R188" i="23"/>
  <c r="T188" i="23"/>
  <c r="U188" i="23"/>
  <c r="V188" i="23"/>
  <c r="W188" i="23"/>
  <c r="X188" i="23"/>
  <c r="Y188" i="23"/>
  <c r="AB188" i="23"/>
  <c r="AC188" i="23"/>
  <c r="AD188" i="23"/>
  <c r="AE188" i="23"/>
  <c r="AF188" i="23"/>
  <c r="AG188" i="23"/>
  <c r="AI188" i="23"/>
  <c r="AJ188" i="23"/>
  <c r="AK188" i="23"/>
  <c r="AL188" i="23"/>
  <c r="AN188" i="23"/>
  <c r="AO188" i="23"/>
  <c r="AP188" i="23"/>
  <c r="AQ188" i="23"/>
  <c r="AR188" i="23"/>
  <c r="AT188" i="23"/>
  <c r="AV188" i="23"/>
  <c r="AW188" i="23"/>
  <c r="AX188" i="23"/>
  <c r="AZ188" i="23"/>
  <c r="BD188" i="23"/>
  <c r="BE188" i="23"/>
  <c r="BF188" i="23"/>
  <c r="BG188" i="23"/>
  <c r="BH188" i="23"/>
  <c r="BI188" i="23"/>
  <c r="BJ188" i="23"/>
  <c r="BK188" i="23"/>
  <c r="BL188" i="23"/>
  <c r="BM188" i="23"/>
  <c r="BO188" i="23"/>
  <c r="BP188" i="23"/>
  <c r="BQ188" i="23"/>
  <c r="BR188" i="23"/>
  <c r="BS188" i="23"/>
  <c r="BT188" i="23"/>
  <c r="BV188" i="23"/>
  <c r="BW188" i="23"/>
  <c r="BX188" i="23"/>
  <c r="BY188" i="23"/>
  <c r="BZ188" i="23"/>
  <c r="CA188" i="23"/>
  <c r="CB188" i="23"/>
  <c r="CD188" i="23"/>
  <c r="CE188" i="23"/>
  <c r="CF188" i="23"/>
  <c r="CH188" i="23"/>
  <c r="CJ188" i="23"/>
  <c r="CL188" i="23"/>
  <c r="CM188" i="23"/>
  <c r="CN188" i="23"/>
  <c r="CP188" i="23"/>
  <c r="CQ188" i="23"/>
  <c r="CR188" i="23"/>
  <c r="CS188" i="23"/>
  <c r="CT188" i="23"/>
  <c r="CU188" i="23"/>
  <c r="CV188" i="23"/>
  <c r="CY188" i="23"/>
  <c r="CZ188" i="23"/>
  <c r="DA188" i="23"/>
  <c r="DD188" i="23"/>
  <c r="DG188" i="23"/>
  <c r="DH188" i="23"/>
  <c r="DJ188" i="23"/>
  <c r="DL188" i="23"/>
  <c r="DM188" i="23"/>
  <c r="DN188" i="23"/>
  <c r="DO188" i="23"/>
  <c r="DP188" i="23"/>
  <c r="DQ188" i="23"/>
  <c r="DR188" i="23"/>
  <c r="DS188" i="23"/>
  <c r="DT188" i="23"/>
  <c r="DU188" i="23"/>
  <c r="DV188" i="23"/>
  <c r="DX188" i="23"/>
  <c r="DY188" i="23"/>
  <c r="DZ188" i="23"/>
  <c r="EA188" i="23"/>
  <c r="EB188" i="23"/>
  <c r="EC188" i="23"/>
  <c r="ED188" i="23"/>
  <c r="EF188" i="23"/>
  <c r="C189" i="23"/>
  <c r="D189" i="23"/>
  <c r="E189" i="23"/>
  <c r="F189" i="23"/>
  <c r="G189" i="23"/>
  <c r="H189" i="23"/>
  <c r="I189" i="23"/>
  <c r="J189" i="23"/>
  <c r="K189" i="23"/>
  <c r="L189" i="23"/>
  <c r="M189" i="23"/>
  <c r="N189" i="23"/>
  <c r="O189" i="23"/>
  <c r="P189" i="23"/>
  <c r="Q189" i="23"/>
  <c r="R189" i="23"/>
  <c r="T189" i="23"/>
  <c r="U189" i="23"/>
  <c r="V189" i="23"/>
  <c r="W189" i="23"/>
  <c r="X189" i="23"/>
  <c r="Y189" i="23"/>
  <c r="AA189" i="23"/>
  <c r="AB189" i="23"/>
  <c r="AC189" i="23"/>
  <c r="AE189" i="23"/>
  <c r="AF189" i="23"/>
  <c r="AJ189" i="23"/>
  <c r="AK189" i="23"/>
  <c r="AL189" i="23"/>
  <c r="AN189" i="23"/>
  <c r="AO189" i="23"/>
  <c r="AP189" i="23"/>
  <c r="AQ189" i="23"/>
  <c r="AR189" i="23"/>
  <c r="AT189" i="23"/>
  <c r="AV189" i="23"/>
  <c r="AX189" i="23"/>
  <c r="AZ189" i="23"/>
  <c r="BD189" i="23"/>
  <c r="BH189" i="23"/>
  <c r="BI189" i="23"/>
  <c r="BJ189" i="23"/>
  <c r="BK189" i="23"/>
  <c r="BL189" i="23"/>
  <c r="BM189" i="23"/>
  <c r="BO189" i="23"/>
  <c r="BP189" i="23"/>
  <c r="BQ189" i="23"/>
  <c r="BR189" i="23"/>
  <c r="BS189" i="23"/>
  <c r="BT189" i="23"/>
  <c r="BU189" i="23"/>
  <c r="BV189" i="23"/>
  <c r="BW189" i="23"/>
  <c r="BX189" i="23"/>
  <c r="BY189" i="23"/>
  <c r="BZ189" i="23"/>
  <c r="CA189" i="23"/>
  <c r="CB189" i="23"/>
  <c r="CC189" i="23"/>
  <c r="CD189" i="23"/>
  <c r="CE189" i="23"/>
  <c r="CF189" i="23"/>
  <c r="CG189" i="23"/>
  <c r="CH189" i="23"/>
  <c r="CJ189" i="23"/>
  <c r="CL189" i="23"/>
  <c r="CM189" i="23"/>
  <c r="CN189" i="23"/>
  <c r="CP189" i="23"/>
  <c r="CQ189" i="23"/>
  <c r="CR189" i="23"/>
  <c r="CS189" i="23"/>
  <c r="CT189" i="23"/>
  <c r="CU189" i="23"/>
  <c r="CV189" i="23"/>
  <c r="CY189" i="23"/>
  <c r="CZ189" i="23"/>
  <c r="DA189" i="23"/>
  <c r="DD189" i="23"/>
  <c r="DE189" i="23"/>
  <c r="DF189" i="23"/>
  <c r="DG189" i="23"/>
  <c r="DH189" i="23"/>
  <c r="DI189" i="23"/>
  <c r="DJ189" i="23"/>
  <c r="DL189" i="23"/>
  <c r="DM189" i="23"/>
  <c r="DN189" i="23"/>
  <c r="DO189" i="23"/>
  <c r="DP189" i="23"/>
  <c r="DQ189" i="23"/>
  <c r="DR189" i="23"/>
  <c r="DS189" i="23"/>
  <c r="DT189" i="23"/>
  <c r="DU189" i="23"/>
  <c r="DV189" i="23"/>
  <c r="DX189" i="23"/>
  <c r="DY189" i="23"/>
  <c r="EA189" i="23"/>
  <c r="EB189" i="23"/>
  <c r="EC189" i="23"/>
  <c r="ED189" i="23"/>
  <c r="EF189" i="23"/>
  <c r="EG189" i="23"/>
  <c r="C190" i="23"/>
  <c r="D190" i="23"/>
  <c r="E190" i="23"/>
  <c r="F190" i="23"/>
  <c r="G190" i="23"/>
  <c r="H190" i="23"/>
  <c r="I190" i="23"/>
  <c r="J190" i="23"/>
  <c r="K190" i="23"/>
  <c r="L190" i="23"/>
  <c r="M190" i="23"/>
  <c r="N190" i="23"/>
  <c r="O190" i="23"/>
  <c r="P190" i="23"/>
  <c r="Q190" i="23"/>
  <c r="R190" i="23"/>
  <c r="T190" i="23"/>
  <c r="V190" i="23"/>
  <c r="W190" i="23"/>
  <c r="X190" i="23"/>
  <c r="Y190" i="23"/>
  <c r="AA190" i="23"/>
  <c r="AB190" i="23"/>
  <c r="AC190" i="23"/>
  <c r="AE190" i="23"/>
  <c r="AF190" i="23"/>
  <c r="AG190" i="23"/>
  <c r="AJ190" i="23"/>
  <c r="AL190" i="23"/>
  <c r="AN190" i="23"/>
  <c r="AO190" i="23"/>
  <c r="AP190" i="23"/>
  <c r="AQ190" i="23"/>
  <c r="AR190" i="23"/>
  <c r="AS190" i="23"/>
  <c r="AU190" i="23"/>
  <c r="AV190" i="23"/>
  <c r="AW190" i="23"/>
  <c r="AX190" i="23"/>
  <c r="AZ190" i="23"/>
  <c r="BD190" i="23"/>
  <c r="BE190" i="23"/>
  <c r="BF190" i="23"/>
  <c r="BG190" i="23"/>
  <c r="BH190" i="23"/>
  <c r="BI190" i="23"/>
  <c r="BJ190" i="23"/>
  <c r="BK190" i="23"/>
  <c r="BL190" i="23"/>
  <c r="BM190" i="23"/>
  <c r="BP190" i="23"/>
  <c r="BQ190" i="23"/>
  <c r="BR190" i="23"/>
  <c r="BS190" i="23"/>
  <c r="BT190" i="23"/>
  <c r="BV190" i="23"/>
  <c r="BX190" i="23"/>
  <c r="BY190" i="23"/>
  <c r="BZ190" i="23"/>
  <c r="CA190" i="23"/>
  <c r="CB190" i="23"/>
  <c r="CD190" i="23"/>
  <c r="CF190" i="23"/>
  <c r="CH190" i="23"/>
  <c r="CI190" i="23"/>
  <c r="CJ190" i="23"/>
  <c r="CL190" i="23"/>
  <c r="CM190" i="23"/>
  <c r="CN190" i="23"/>
  <c r="CP190" i="23"/>
  <c r="CQ190" i="23"/>
  <c r="CR190" i="23"/>
  <c r="CS190" i="23"/>
  <c r="CT190" i="23"/>
  <c r="CU190" i="23"/>
  <c r="CV190" i="23"/>
  <c r="CX190" i="23"/>
  <c r="CY190" i="23"/>
  <c r="CZ190" i="23"/>
  <c r="DA190" i="23"/>
  <c r="DD190" i="23"/>
  <c r="DF190" i="23"/>
  <c r="DG190" i="23"/>
  <c r="DH190" i="23"/>
  <c r="DJ190" i="23"/>
  <c r="DL190" i="23"/>
  <c r="DM190" i="23"/>
  <c r="DN190" i="23"/>
  <c r="DO190" i="23"/>
  <c r="DP190" i="23"/>
  <c r="DQ190" i="23"/>
  <c r="DR190" i="23"/>
  <c r="DS190" i="23"/>
  <c r="DT190" i="23"/>
  <c r="DU190" i="23"/>
  <c r="DV190" i="23"/>
  <c r="DX190" i="23"/>
  <c r="EA190" i="23"/>
  <c r="EB190" i="23"/>
  <c r="EC190" i="23"/>
  <c r="ED190" i="23"/>
  <c r="EF190" i="23"/>
  <c r="C191" i="23"/>
  <c r="D191" i="23"/>
  <c r="E191" i="23"/>
  <c r="F191" i="23"/>
  <c r="G191" i="23"/>
  <c r="H191" i="23"/>
  <c r="I191" i="23"/>
  <c r="J191" i="23"/>
  <c r="K191" i="23"/>
  <c r="L191" i="23"/>
  <c r="M191" i="23"/>
  <c r="N191" i="23"/>
  <c r="O191" i="23"/>
  <c r="P191" i="23"/>
  <c r="Q191" i="23"/>
  <c r="R191" i="23"/>
  <c r="T191" i="23"/>
  <c r="U191" i="23"/>
  <c r="V191" i="23"/>
  <c r="W191" i="23"/>
  <c r="X191" i="23"/>
  <c r="Y191" i="23"/>
  <c r="AB191" i="23"/>
  <c r="AC191" i="23"/>
  <c r="AD191" i="23"/>
  <c r="AE191" i="23"/>
  <c r="AF191" i="23"/>
  <c r="AG191" i="23"/>
  <c r="AI191" i="23"/>
  <c r="AJ191" i="23"/>
  <c r="AL191" i="23"/>
  <c r="AN191" i="23"/>
  <c r="AO191" i="23"/>
  <c r="AP191" i="23"/>
  <c r="AQ191" i="23"/>
  <c r="AR191" i="23"/>
  <c r="AS191" i="23"/>
  <c r="AT191" i="23"/>
  <c r="AU191" i="23"/>
  <c r="AV191" i="23"/>
  <c r="AW191" i="23"/>
  <c r="AZ191" i="23"/>
  <c r="BD191" i="23"/>
  <c r="BE191" i="23"/>
  <c r="BF191" i="23"/>
  <c r="BG191" i="23"/>
  <c r="BH191" i="23"/>
  <c r="BI191" i="23"/>
  <c r="BJ191" i="23"/>
  <c r="BK191" i="23"/>
  <c r="BL191" i="23"/>
  <c r="BM191" i="23"/>
  <c r="BO191" i="23"/>
  <c r="BP191" i="23"/>
  <c r="BQ191" i="23"/>
  <c r="BR191" i="23"/>
  <c r="BS191" i="23"/>
  <c r="BT191" i="23"/>
  <c r="BU191" i="23"/>
  <c r="BV191" i="23"/>
  <c r="BW191" i="23"/>
  <c r="BX191" i="23"/>
  <c r="BY191" i="23"/>
  <c r="BZ191" i="23"/>
  <c r="CA191" i="23"/>
  <c r="CB191" i="23"/>
  <c r="CC191" i="23"/>
  <c r="CD191" i="23"/>
  <c r="CE191" i="23"/>
  <c r="CF191" i="23"/>
  <c r="CG191" i="23"/>
  <c r="CH191" i="23"/>
  <c r="CI191" i="23"/>
  <c r="CJ191" i="23"/>
  <c r="CK191" i="23"/>
  <c r="CL191" i="23"/>
  <c r="CM191" i="23"/>
  <c r="CN191" i="23"/>
  <c r="CO191" i="23"/>
  <c r="CP191" i="23"/>
  <c r="CQ191" i="23"/>
  <c r="CR191" i="23"/>
  <c r="CS191" i="23"/>
  <c r="CT191" i="23"/>
  <c r="CU191" i="23"/>
  <c r="CV191" i="23"/>
  <c r="CW191" i="23"/>
  <c r="CX191" i="23"/>
  <c r="CY191" i="23"/>
  <c r="CZ191" i="23"/>
  <c r="DA191" i="23"/>
  <c r="DD191" i="23"/>
  <c r="DF191" i="23"/>
  <c r="DH191" i="23"/>
  <c r="DJ191" i="23"/>
  <c r="DL191" i="23"/>
  <c r="DM191" i="23"/>
  <c r="DN191" i="23"/>
  <c r="DO191" i="23"/>
  <c r="DP191" i="23"/>
  <c r="DQ191" i="23"/>
  <c r="DR191" i="23"/>
  <c r="DS191" i="23"/>
  <c r="DT191" i="23"/>
  <c r="DU191" i="23"/>
  <c r="DV191" i="23"/>
  <c r="DX191" i="23"/>
  <c r="DY191" i="23"/>
  <c r="DZ191" i="23"/>
  <c r="EA191" i="23"/>
  <c r="EB191" i="23"/>
  <c r="EC191" i="23"/>
  <c r="ED191" i="23"/>
  <c r="EF191" i="23"/>
  <c r="C192" i="23"/>
  <c r="D192" i="23"/>
  <c r="G192" i="23"/>
  <c r="H192" i="23"/>
  <c r="I192" i="23"/>
  <c r="K192" i="23"/>
  <c r="L192" i="23"/>
  <c r="N192" i="23"/>
  <c r="O192" i="23"/>
  <c r="P192" i="23"/>
  <c r="Q192" i="23"/>
  <c r="R192" i="23"/>
  <c r="S192" i="23"/>
  <c r="T192" i="23"/>
  <c r="U192" i="23"/>
  <c r="V192" i="23"/>
  <c r="W192" i="23"/>
  <c r="X192" i="23"/>
  <c r="Z192" i="23"/>
  <c r="AA192" i="23"/>
  <c r="AB192" i="23"/>
  <c r="AC192" i="23"/>
  <c r="AD192" i="23"/>
  <c r="AE192" i="23"/>
  <c r="AF192" i="23"/>
  <c r="AG192" i="23"/>
  <c r="AI192" i="23"/>
  <c r="AJ192" i="23"/>
  <c r="AK192" i="23"/>
  <c r="AL192" i="23"/>
  <c r="AM192" i="23"/>
  <c r="AN192" i="23"/>
  <c r="AO192" i="23"/>
  <c r="AP192" i="23"/>
  <c r="AQ192" i="23"/>
  <c r="AR192" i="23"/>
  <c r="AS192" i="23"/>
  <c r="AT192" i="23"/>
  <c r="AV192" i="23"/>
  <c r="AW192" i="23"/>
  <c r="AX192" i="23"/>
  <c r="AZ192" i="23"/>
  <c r="BA192" i="23"/>
  <c r="BD192" i="23"/>
  <c r="BG192" i="23"/>
  <c r="BH192" i="23"/>
  <c r="BI192" i="23"/>
  <c r="BJ192" i="23"/>
  <c r="BL192" i="23"/>
  <c r="BM192" i="23"/>
  <c r="BN192" i="23"/>
  <c r="BO192" i="23"/>
  <c r="BP192" i="23"/>
  <c r="BQ192" i="23"/>
  <c r="BS192" i="23"/>
  <c r="BT192" i="23"/>
  <c r="BU192" i="23"/>
  <c r="BV192" i="23"/>
  <c r="BW192" i="23"/>
  <c r="BX192" i="23"/>
  <c r="BZ192" i="23"/>
  <c r="CA192" i="23"/>
  <c r="CB192" i="23"/>
  <c r="CC192" i="23"/>
  <c r="CD192" i="23"/>
  <c r="CE192" i="23"/>
  <c r="CF192" i="23"/>
  <c r="CG192" i="23"/>
  <c r="CH192" i="23"/>
  <c r="CI192" i="23"/>
  <c r="CJ192" i="23"/>
  <c r="CK192" i="23"/>
  <c r="CM192" i="23"/>
  <c r="CN192" i="23"/>
  <c r="CP192" i="23"/>
  <c r="CQ192" i="23"/>
  <c r="CR192" i="23"/>
  <c r="CS192" i="23"/>
  <c r="CV192" i="23"/>
  <c r="CW192" i="23"/>
  <c r="CX192" i="23"/>
  <c r="CZ192" i="23"/>
  <c r="DA192" i="23"/>
  <c r="DD192" i="23"/>
  <c r="DE192" i="23"/>
  <c r="DF192" i="23"/>
  <c r="DG192" i="23"/>
  <c r="DH192" i="23"/>
  <c r="DI192" i="23"/>
  <c r="DJ192" i="23"/>
  <c r="DL192" i="23"/>
  <c r="DM192" i="23"/>
  <c r="DN192" i="23"/>
  <c r="DO192" i="23"/>
  <c r="DP192" i="23"/>
  <c r="DQ192" i="23"/>
  <c r="DR192" i="23"/>
  <c r="DT192" i="23"/>
  <c r="DU192" i="23"/>
  <c r="DV192" i="23"/>
  <c r="DW192" i="23"/>
  <c r="DX192" i="23"/>
  <c r="DY192" i="23"/>
  <c r="DZ192" i="23"/>
  <c r="EA192" i="23"/>
  <c r="EB192" i="23"/>
  <c r="EC192" i="23"/>
  <c r="ED192" i="23"/>
  <c r="EF192" i="23"/>
  <c r="EH192" i="23"/>
  <c r="EI192" i="23"/>
  <c r="C193" i="23"/>
  <c r="D193" i="23"/>
  <c r="E193" i="23"/>
  <c r="F193" i="23"/>
  <c r="H193" i="23"/>
  <c r="I193" i="23"/>
  <c r="J193" i="23"/>
  <c r="K193" i="23"/>
  <c r="L193" i="23"/>
  <c r="M193" i="23"/>
  <c r="N193" i="23"/>
  <c r="O193" i="23"/>
  <c r="P193" i="23"/>
  <c r="Q193" i="23"/>
  <c r="R193" i="23"/>
  <c r="S193" i="23"/>
  <c r="T193" i="23"/>
  <c r="U193" i="23"/>
  <c r="V193" i="23"/>
  <c r="W193" i="23"/>
  <c r="X193" i="23"/>
  <c r="Y193" i="23"/>
  <c r="AA193" i="23"/>
  <c r="AB193" i="23"/>
  <c r="AC193" i="23"/>
  <c r="AD193" i="23"/>
  <c r="AE193" i="23"/>
  <c r="AF193" i="23"/>
  <c r="AG193" i="23"/>
  <c r="AI193" i="23"/>
  <c r="AJ193" i="23"/>
  <c r="AK193" i="23"/>
  <c r="AL193" i="23"/>
  <c r="AM193" i="23"/>
  <c r="AN193" i="23"/>
  <c r="AO193" i="23"/>
  <c r="AP193" i="23"/>
  <c r="AQ193" i="23"/>
  <c r="AR193" i="23"/>
  <c r="AS193" i="23"/>
  <c r="AT193" i="23"/>
  <c r="AU193" i="23"/>
  <c r="AV193" i="23"/>
  <c r="AW193" i="23"/>
  <c r="AZ193" i="23"/>
  <c r="BD193" i="23"/>
  <c r="BE193" i="23"/>
  <c r="BF193" i="23"/>
  <c r="BG193" i="23"/>
  <c r="BH193" i="23"/>
  <c r="BI193" i="23"/>
  <c r="BJ193" i="23"/>
  <c r="BK193" i="23"/>
  <c r="BL193" i="23"/>
  <c r="BM193" i="23"/>
  <c r="BN193" i="23"/>
  <c r="BP193" i="23"/>
  <c r="BQ193" i="23"/>
  <c r="BR193" i="23"/>
  <c r="BS193" i="23"/>
  <c r="BT193" i="23"/>
  <c r="BU193" i="23"/>
  <c r="BV193" i="23"/>
  <c r="BX193" i="23"/>
  <c r="BY193" i="23"/>
  <c r="BZ193" i="23"/>
  <c r="CA193" i="23"/>
  <c r="CB193" i="23"/>
  <c r="CC193" i="23"/>
  <c r="CD193" i="23"/>
  <c r="CF193" i="23"/>
  <c r="CG193" i="23"/>
  <c r="CH193" i="23"/>
  <c r="CI193" i="23"/>
  <c r="CJ193" i="23"/>
  <c r="CK193" i="23"/>
  <c r="CL193" i="23"/>
  <c r="CM193" i="23"/>
  <c r="CN193" i="23"/>
  <c r="CO193" i="23"/>
  <c r="CP193" i="23"/>
  <c r="CQ193" i="23"/>
  <c r="CR193" i="23"/>
  <c r="CS193" i="23"/>
  <c r="CT193" i="23"/>
  <c r="CU193" i="23"/>
  <c r="CV193" i="23"/>
  <c r="CW193" i="23"/>
  <c r="CX193" i="23"/>
  <c r="CY193" i="23"/>
  <c r="CZ193" i="23"/>
  <c r="DA193" i="23"/>
  <c r="DB193" i="23"/>
  <c r="DD193" i="23"/>
  <c r="DE193" i="23"/>
  <c r="DF193" i="23"/>
  <c r="DG193" i="23"/>
  <c r="DH193" i="23"/>
  <c r="DI193" i="23"/>
  <c r="DJ193" i="23"/>
  <c r="DL193" i="23"/>
  <c r="DM193" i="23"/>
  <c r="DN193" i="23"/>
  <c r="DO193" i="23"/>
  <c r="DP193" i="23"/>
  <c r="DQ193" i="23"/>
  <c r="DR193" i="23"/>
  <c r="DS193" i="23"/>
  <c r="DT193" i="23"/>
  <c r="DU193" i="23"/>
  <c r="DV193" i="23"/>
  <c r="DW193" i="23"/>
  <c r="DX193" i="23"/>
  <c r="DZ193" i="23"/>
  <c r="EA193" i="23"/>
  <c r="EB193" i="23"/>
  <c r="EC193" i="23"/>
  <c r="ED193" i="23"/>
  <c r="EE193" i="23"/>
  <c r="EF193" i="23"/>
  <c r="EG193" i="23"/>
  <c r="EH193" i="23"/>
  <c r="EI193" i="23"/>
  <c r="C194" i="23"/>
  <c r="D194" i="23"/>
  <c r="E194" i="23"/>
  <c r="F194" i="23"/>
  <c r="G194" i="23"/>
  <c r="H194" i="23"/>
  <c r="I194" i="23"/>
  <c r="J194" i="23"/>
  <c r="L194" i="23"/>
  <c r="M194" i="23"/>
  <c r="P194" i="23"/>
  <c r="Q194" i="23"/>
  <c r="R194" i="23"/>
  <c r="S194" i="23"/>
  <c r="T194" i="23"/>
  <c r="U194" i="23"/>
  <c r="X194" i="23"/>
  <c r="Y194" i="23"/>
  <c r="Z194" i="23"/>
  <c r="AA194" i="23"/>
  <c r="AB194" i="23"/>
  <c r="AC194" i="23"/>
  <c r="AD194" i="23"/>
  <c r="AF194" i="23"/>
  <c r="AG194" i="23"/>
  <c r="AI194" i="23"/>
  <c r="AJ194" i="23"/>
  <c r="AK194" i="23"/>
  <c r="AL194" i="23"/>
  <c r="AM194" i="23"/>
  <c r="AN194" i="23"/>
  <c r="AO194" i="23"/>
  <c r="AP194" i="23"/>
  <c r="AR194" i="23"/>
  <c r="AS194" i="23"/>
  <c r="AT194" i="23"/>
  <c r="AV194" i="23"/>
  <c r="AW194" i="23"/>
  <c r="AX194" i="23"/>
  <c r="AY194" i="23"/>
  <c r="AZ194" i="23"/>
  <c r="BB194" i="23"/>
  <c r="BC194" i="23"/>
  <c r="BD194" i="23"/>
  <c r="BE194" i="23"/>
  <c r="BF194" i="23"/>
  <c r="BG194" i="23"/>
  <c r="BH194" i="23"/>
  <c r="BK194" i="23"/>
  <c r="BL194" i="23"/>
  <c r="BM194" i="23"/>
  <c r="BN194" i="23"/>
  <c r="BO194" i="23"/>
  <c r="BP194" i="23"/>
  <c r="BR194" i="23"/>
  <c r="BT194" i="23"/>
  <c r="BU194" i="23"/>
  <c r="BV194" i="23"/>
  <c r="BW194" i="23"/>
  <c r="BX194" i="23"/>
  <c r="BY194" i="23"/>
  <c r="CA194" i="23"/>
  <c r="CB194" i="23"/>
  <c r="CC194" i="23"/>
  <c r="CD194" i="23"/>
  <c r="CE194" i="23"/>
  <c r="CF194" i="23"/>
  <c r="CG194" i="23"/>
  <c r="CJ194" i="23"/>
  <c r="CK194" i="23"/>
  <c r="CL194" i="23"/>
  <c r="CM194" i="23"/>
  <c r="CN194" i="23"/>
  <c r="CO194" i="23"/>
  <c r="CP194" i="23"/>
  <c r="CR194" i="23"/>
  <c r="CS194" i="23"/>
  <c r="CT194" i="23"/>
  <c r="CV194" i="23"/>
  <c r="CW194" i="23"/>
  <c r="CX194" i="23"/>
  <c r="CY194" i="23"/>
  <c r="CZ194" i="23"/>
  <c r="DA194" i="23"/>
  <c r="DB194" i="23"/>
  <c r="DC194" i="23"/>
  <c r="DD194" i="23"/>
  <c r="DE194" i="23"/>
  <c r="DF194" i="23"/>
  <c r="DG194" i="23"/>
  <c r="DH194" i="23"/>
  <c r="DI194" i="23"/>
  <c r="DJ194" i="23"/>
  <c r="DK194" i="23"/>
  <c r="DL194" i="23"/>
  <c r="DM194" i="23"/>
  <c r="DP194" i="23"/>
  <c r="DQ194" i="23"/>
  <c r="DR194" i="23"/>
  <c r="DS194" i="23"/>
  <c r="DT194" i="23"/>
  <c r="DW194" i="23"/>
  <c r="DX194" i="23"/>
  <c r="DY194" i="23"/>
  <c r="DZ194" i="23"/>
  <c r="EA194" i="23"/>
  <c r="EB194" i="23"/>
  <c r="EC194" i="23"/>
  <c r="ED194" i="23"/>
  <c r="EE194" i="23"/>
  <c r="EF194" i="23"/>
  <c r="EG194" i="23"/>
  <c r="EH194" i="23"/>
  <c r="EI194" i="23"/>
  <c r="C199" i="23"/>
  <c r="D199" i="23"/>
  <c r="G199" i="23"/>
  <c r="H199" i="23"/>
  <c r="I199" i="23"/>
  <c r="K199" i="23"/>
  <c r="L199" i="23"/>
  <c r="M199" i="23"/>
  <c r="N199" i="23"/>
  <c r="O199" i="23"/>
  <c r="P199" i="23"/>
  <c r="Q199" i="23"/>
  <c r="S199" i="23"/>
  <c r="T199" i="23"/>
  <c r="U199" i="23"/>
  <c r="V199" i="23"/>
  <c r="X199" i="23"/>
  <c r="Z199" i="23"/>
  <c r="AA199" i="23"/>
  <c r="AB199" i="23"/>
  <c r="AC199" i="23"/>
  <c r="AD199" i="23"/>
  <c r="AE199" i="23"/>
  <c r="AF199" i="23"/>
  <c r="AG199" i="23"/>
  <c r="AI199" i="23"/>
  <c r="AJ199" i="23"/>
  <c r="AK199" i="23"/>
  <c r="AL199" i="23"/>
  <c r="AM199" i="23"/>
  <c r="AN199" i="23"/>
  <c r="AO199" i="23"/>
  <c r="AP199" i="23"/>
  <c r="AQ199" i="23"/>
  <c r="AR199" i="23"/>
  <c r="AS199" i="23"/>
  <c r="AT199" i="23"/>
  <c r="AU199" i="23"/>
  <c r="AV199" i="23"/>
  <c r="AW199" i="23"/>
  <c r="AX199" i="23"/>
  <c r="AZ199" i="23"/>
  <c r="BA199" i="23"/>
  <c r="BC199" i="23"/>
  <c r="BD199" i="23"/>
  <c r="BE199" i="23"/>
  <c r="BF199" i="23"/>
  <c r="BG199" i="23"/>
  <c r="BH199" i="23"/>
  <c r="BI199" i="23"/>
  <c r="BJ199" i="23"/>
  <c r="BL199" i="23"/>
  <c r="BM199" i="23"/>
  <c r="BN199" i="23"/>
  <c r="BO199" i="23"/>
  <c r="BP199" i="23"/>
  <c r="BQ199" i="23"/>
  <c r="BR199" i="23"/>
  <c r="BS199" i="23"/>
  <c r="BT199" i="23"/>
  <c r="BU199" i="23"/>
  <c r="BV199" i="23"/>
  <c r="BW199" i="23"/>
  <c r="BX199" i="23"/>
  <c r="BZ199" i="23"/>
  <c r="CA199" i="23"/>
  <c r="CB199" i="23"/>
  <c r="CC199" i="23"/>
  <c r="CD199" i="23"/>
  <c r="CE199" i="23"/>
  <c r="CF199" i="23"/>
  <c r="CG199" i="23"/>
  <c r="CH199" i="23"/>
  <c r="CI199" i="23"/>
  <c r="CJ199" i="23"/>
  <c r="CK199" i="23"/>
  <c r="CL199" i="23"/>
  <c r="CM199" i="23"/>
  <c r="CN199" i="23"/>
  <c r="CO199" i="23"/>
  <c r="CQ199" i="23"/>
  <c r="CR199" i="23"/>
  <c r="CS199" i="23"/>
  <c r="CU199" i="23"/>
  <c r="CV199" i="23"/>
  <c r="CW199" i="23"/>
  <c r="CZ199" i="23"/>
  <c r="DA199" i="23"/>
  <c r="DB199" i="23"/>
  <c r="DD199" i="23"/>
  <c r="DE199" i="23"/>
  <c r="DF199" i="23"/>
  <c r="DG199" i="23"/>
  <c r="DH199" i="23"/>
  <c r="DI199" i="23"/>
  <c r="DJ199" i="23"/>
  <c r="DL199" i="23"/>
  <c r="DM199" i="23"/>
  <c r="DN199" i="23"/>
  <c r="DO199" i="23"/>
  <c r="DP199" i="23"/>
  <c r="DQ199" i="23"/>
  <c r="DT199" i="23"/>
  <c r="DU199" i="23"/>
  <c r="DV199" i="23"/>
  <c r="DW199" i="23"/>
  <c r="DX199" i="23"/>
  <c r="DY199" i="23"/>
  <c r="DZ199" i="23"/>
  <c r="EA199" i="23"/>
  <c r="EB199" i="23"/>
  <c r="EC199" i="23"/>
  <c r="ED199" i="23"/>
  <c r="EF199" i="23"/>
  <c r="EG199" i="23"/>
  <c r="EH199" i="23"/>
  <c r="EI199" i="23"/>
  <c r="D200" i="23"/>
  <c r="E200" i="23"/>
  <c r="G200" i="23"/>
  <c r="H200" i="23"/>
  <c r="I200" i="23"/>
  <c r="K200" i="23"/>
  <c r="L200" i="23"/>
  <c r="M200" i="23"/>
  <c r="N200" i="23"/>
  <c r="O200" i="23"/>
  <c r="P200" i="23"/>
  <c r="Q200" i="23"/>
  <c r="S200" i="23"/>
  <c r="T200" i="23"/>
  <c r="U200" i="23"/>
  <c r="V200" i="23"/>
  <c r="X200" i="23"/>
  <c r="Y200" i="23"/>
  <c r="Z200" i="23"/>
  <c r="AA200" i="23"/>
  <c r="AB200" i="23"/>
  <c r="AC200" i="23"/>
  <c r="AD200" i="23"/>
  <c r="AE200" i="23"/>
  <c r="AF200" i="23"/>
  <c r="AG200" i="23"/>
  <c r="AI200" i="23"/>
  <c r="AJ200" i="23"/>
  <c r="AK200" i="23"/>
  <c r="AL200" i="23"/>
  <c r="AM200" i="23"/>
  <c r="AN200" i="23"/>
  <c r="AO200" i="23"/>
  <c r="AP200" i="23"/>
  <c r="AQ200" i="23"/>
  <c r="AR200" i="23"/>
  <c r="AS200" i="23"/>
  <c r="AT200" i="23"/>
  <c r="AU200" i="23"/>
  <c r="AV200" i="23"/>
  <c r="AW200" i="23"/>
  <c r="AX200" i="23"/>
  <c r="AZ200" i="23"/>
  <c r="BA200" i="23"/>
  <c r="BC200" i="23"/>
  <c r="BD200" i="23"/>
  <c r="BE200" i="23"/>
  <c r="BF200" i="23"/>
  <c r="BH200" i="23"/>
  <c r="BI200" i="23"/>
  <c r="BJ200" i="23"/>
  <c r="BL200" i="23"/>
  <c r="BM200" i="23"/>
  <c r="BN200" i="23"/>
  <c r="BO200" i="23"/>
  <c r="BP200" i="23"/>
  <c r="BQ200" i="23"/>
  <c r="BR200" i="23"/>
  <c r="BS200" i="23"/>
  <c r="BT200" i="23"/>
  <c r="BU200" i="23"/>
  <c r="BV200" i="23"/>
  <c r="BW200" i="23"/>
  <c r="BX200" i="23"/>
  <c r="BY200" i="23"/>
  <c r="BZ200" i="23"/>
  <c r="CB200" i="23"/>
  <c r="CC200" i="23"/>
  <c r="CD200" i="23"/>
  <c r="CE200" i="23"/>
  <c r="CF200" i="23"/>
  <c r="CG200" i="23"/>
  <c r="CH200" i="23"/>
  <c r="CI200" i="23"/>
  <c r="CJ200" i="23"/>
  <c r="CK200" i="23"/>
  <c r="CM200" i="23"/>
  <c r="CN200" i="23"/>
  <c r="CO200" i="23"/>
  <c r="CQ200" i="23"/>
  <c r="CR200" i="23"/>
  <c r="CS200" i="23"/>
  <c r="CT200" i="23"/>
  <c r="CU200" i="23"/>
  <c r="CV200" i="23"/>
  <c r="CW200" i="23"/>
  <c r="CZ200" i="23"/>
  <c r="DA200" i="23"/>
  <c r="DB200" i="23"/>
  <c r="DD200" i="23"/>
  <c r="DE200" i="23"/>
  <c r="DF200" i="23"/>
  <c r="DG200" i="23"/>
  <c r="DH200" i="23"/>
  <c r="DI200" i="23"/>
  <c r="DJ200" i="23"/>
  <c r="DL200" i="23"/>
  <c r="DM200" i="23"/>
  <c r="DN200" i="23"/>
  <c r="DO200" i="23"/>
  <c r="DP200" i="23"/>
  <c r="DQ200" i="23"/>
  <c r="DR200" i="23"/>
  <c r="DS200" i="23"/>
  <c r="DT200" i="23"/>
  <c r="DU200" i="23"/>
  <c r="DV200" i="23"/>
  <c r="DW200" i="23"/>
  <c r="DX200" i="23"/>
  <c r="DY200" i="23"/>
  <c r="DZ200" i="23"/>
  <c r="EB200" i="23"/>
  <c r="EC200" i="23"/>
  <c r="ED200" i="23"/>
  <c r="EE200" i="23"/>
  <c r="EF200" i="23"/>
  <c r="EG200" i="23"/>
  <c r="EH200" i="23"/>
  <c r="EI200" i="23"/>
  <c r="D201" i="23"/>
  <c r="E201" i="23"/>
  <c r="F201" i="23"/>
  <c r="G201" i="23"/>
  <c r="H201" i="23"/>
  <c r="I201" i="23"/>
  <c r="J201" i="23"/>
  <c r="L201" i="23"/>
  <c r="M201" i="23"/>
  <c r="N201" i="23"/>
  <c r="O201" i="23"/>
  <c r="P201" i="23"/>
  <c r="Q201" i="23"/>
  <c r="R201" i="23"/>
  <c r="S201" i="23"/>
  <c r="T201" i="23"/>
  <c r="U201" i="23"/>
  <c r="W201" i="23"/>
  <c r="X201" i="23"/>
  <c r="Y201" i="23"/>
  <c r="Z201" i="23"/>
  <c r="AA201" i="23"/>
  <c r="AB201" i="23"/>
  <c r="AC201" i="23"/>
  <c r="AD201" i="23"/>
  <c r="AF201" i="23"/>
  <c r="AG201" i="23"/>
  <c r="AI201" i="23"/>
  <c r="AJ201" i="23"/>
  <c r="AK201" i="23"/>
  <c r="AL201" i="23"/>
  <c r="AM201" i="23"/>
  <c r="AN201" i="23"/>
  <c r="AO201" i="23"/>
  <c r="AR201" i="23"/>
  <c r="AS201" i="23"/>
  <c r="AT201" i="23"/>
  <c r="AV201" i="23"/>
  <c r="AW201" i="23"/>
  <c r="AX201" i="23"/>
  <c r="AZ201" i="23"/>
  <c r="BA201" i="23"/>
  <c r="BC201" i="23"/>
  <c r="BD201" i="23"/>
  <c r="BE201" i="23"/>
  <c r="BF201" i="23"/>
  <c r="BG201" i="23"/>
  <c r="BH201" i="23"/>
  <c r="BI201" i="23"/>
  <c r="BK201" i="23"/>
  <c r="BL201" i="23"/>
  <c r="BM201" i="23"/>
  <c r="BN201" i="23"/>
  <c r="BO201" i="23"/>
  <c r="BP201" i="23"/>
  <c r="BQ201" i="23"/>
  <c r="BR201" i="23"/>
  <c r="BS201" i="23"/>
  <c r="BT201" i="23"/>
  <c r="BU201" i="23"/>
  <c r="BV201" i="23"/>
  <c r="BW201" i="23"/>
  <c r="BX201" i="23"/>
  <c r="BY201" i="23"/>
  <c r="CB201" i="23"/>
  <c r="CC201" i="23"/>
  <c r="CD201" i="23"/>
  <c r="CE201" i="23"/>
  <c r="CF201" i="23"/>
  <c r="CG201" i="23"/>
  <c r="CI201" i="23"/>
  <c r="CJ201" i="23"/>
  <c r="CK201" i="23"/>
  <c r="CM201" i="23"/>
  <c r="CN201" i="23"/>
  <c r="CO201" i="23"/>
  <c r="CP201" i="23"/>
  <c r="CQ201" i="23"/>
  <c r="CR201" i="23"/>
  <c r="CS201" i="23"/>
  <c r="CT201" i="23"/>
  <c r="CU201" i="23"/>
  <c r="CV201" i="23"/>
  <c r="CW201" i="23"/>
  <c r="CY201" i="23"/>
  <c r="CZ201" i="23"/>
  <c r="DA201" i="23"/>
  <c r="DD201" i="23"/>
  <c r="DE201" i="23"/>
  <c r="DF201" i="23"/>
  <c r="DG201" i="23"/>
  <c r="DH201" i="23"/>
  <c r="DI201" i="23"/>
  <c r="DJ201" i="23"/>
  <c r="DL201" i="23"/>
  <c r="DM201" i="23"/>
  <c r="DN201" i="23"/>
  <c r="DP201" i="23"/>
  <c r="DQ201" i="23"/>
  <c r="DS201" i="23"/>
  <c r="DT201" i="23"/>
  <c r="DU201" i="23"/>
  <c r="DV201" i="23"/>
  <c r="DW201" i="23"/>
  <c r="DX201" i="23"/>
  <c r="DY201" i="23"/>
  <c r="DZ201" i="23"/>
  <c r="EA201" i="23"/>
  <c r="EB201" i="23"/>
  <c r="EC201" i="23"/>
  <c r="ED201" i="23"/>
  <c r="EF201" i="23"/>
  <c r="EG201" i="23"/>
  <c r="EH201" i="23"/>
  <c r="EI201" i="23"/>
  <c r="C202" i="23"/>
  <c r="D202" i="23"/>
  <c r="E202" i="23"/>
  <c r="F202" i="23"/>
  <c r="G202" i="23"/>
  <c r="H202" i="23"/>
  <c r="I202" i="23"/>
  <c r="J202" i="23"/>
  <c r="K202" i="23"/>
  <c r="L202" i="23"/>
  <c r="M202" i="23"/>
  <c r="N202" i="23"/>
  <c r="P202" i="23"/>
  <c r="Q202" i="23"/>
  <c r="R202" i="23"/>
  <c r="S202" i="23"/>
  <c r="T202" i="23"/>
  <c r="U202" i="23"/>
  <c r="W202" i="23"/>
  <c r="X202" i="23"/>
  <c r="Y202" i="23"/>
  <c r="Z202" i="23"/>
  <c r="AA202" i="23"/>
  <c r="AB202" i="23"/>
  <c r="AC202" i="23"/>
  <c r="AD202" i="23"/>
  <c r="AF202" i="23"/>
  <c r="AG202" i="23"/>
  <c r="AI202" i="23"/>
  <c r="AJ202" i="23"/>
  <c r="AK202" i="23"/>
  <c r="AL202" i="23"/>
  <c r="AM202" i="23"/>
  <c r="AN202" i="23"/>
  <c r="AO202" i="23"/>
  <c r="AP202" i="23"/>
  <c r="AQ202" i="23"/>
  <c r="AR202" i="23"/>
  <c r="AS202" i="23"/>
  <c r="AU202" i="23"/>
  <c r="AV202" i="23"/>
  <c r="AW202" i="23"/>
  <c r="AX202" i="23"/>
  <c r="AZ202" i="23"/>
  <c r="BA202" i="23"/>
  <c r="BD202" i="23"/>
  <c r="BE202" i="23"/>
  <c r="BF202" i="23"/>
  <c r="BH202" i="23"/>
  <c r="BI202" i="23"/>
  <c r="BK202" i="23"/>
  <c r="BL202" i="23"/>
  <c r="BM202" i="23"/>
  <c r="BN202" i="23"/>
  <c r="BO202" i="23"/>
  <c r="BP202" i="23"/>
  <c r="BQ202" i="23"/>
  <c r="BR202" i="23"/>
  <c r="BT202" i="23"/>
  <c r="BU202" i="23"/>
  <c r="BV202" i="23"/>
  <c r="BW202" i="23"/>
  <c r="BX202" i="23"/>
  <c r="BY202" i="23"/>
  <c r="CA202" i="23"/>
  <c r="CB202" i="23"/>
  <c r="CC202" i="23"/>
  <c r="CD202" i="23"/>
  <c r="CE202" i="23"/>
  <c r="CF202" i="23"/>
  <c r="CG202" i="23"/>
  <c r="CH202" i="23"/>
  <c r="CI202" i="23"/>
  <c r="CJ202" i="23"/>
  <c r="CK202" i="23"/>
  <c r="CN202" i="23"/>
  <c r="CO202" i="23"/>
  <c r="CR202" i="23"/>
  <c r="CS202" i="23"/>
  <c r="CT202" i="23"/>
  <c r="CU202" i="23"/>
  <c r="CV202" i="23"/>
  <c r="CW202" i="23"/>
  <c r="CX202" i="23"/>
  <c r="CY202" i="23"/>
  <c r="CZ202" i="23"/>
  <c r="DA202" i="23"/>
  <c r="DB202" i="23"/>
  <c r="DD202" i="23"/>
  <c r="DE202" i="23"/>
  <c r="DF202" i="23"/>
  <c r="DG202" i="23"/>
  <c r="DH202" i="23"/>
  <c r="DI202" i="23"/>
  <c r="DJ202" i="23"/>
  <c r="DL202" i="23"/>
  <c r="DM202" i="23"/>
  <c r="DN202" i="23"/>
  <c r="DP202" i="23"/>
  <c r="DQ202" i="23"/>
  <c r="DR202" i="23"/>
  <c r="DS202" i="23"/>
  <c r="DT202" i="23"/>
  <c r="DU202" i="23"/>
  <c r="DW202" i="23"/>
  <c r="DX202" i="23"/>
  <c r="DY202" i="23"/>
  <c r="DZ202" i="23"/>
  <c r="EB202" i="23"/>
  <c r="EC202" i="23"/>
  <c r="EF202" i="23"/>
  <c r="EG202" i="23"/>
  <c r="C203" i="23"/>
  <c r="D203" i="23"/>
  <c r="E203" i="23"/>
  <c r="F203" i="23"/>
  <c r="H203" i="23"/>
  <c r="I203" i="23"/>
  <c r="J203" i="23"/>
  <c r="K203" i="23"/>
  <c r="L203" i="23"/>
  <c r="M203" i="23"/>
  <c r="N203" i="23"/>
  <c r="O203" i="23"/>
  <c r="P203" i="23"/>
  <c r="Q203" i="23"/>
  <c r="R203" i="23"/>
  <c r="S203" i="23"/>
  <c r="T203" i="23"/>
  <c r="U203" i="23"/>
  <c r="V203" i="23"/>
  <c r="W203" i="23"/>
  <c r="X203" i="23"/>
  <c r="Y203" i="23"/>
  <c r="Z203" i="23"/>
  <c r="AA203" i="23"/>
  <c r="AB203" i="23"/>
  <c r="AC203" i="23"/>
  <c r="AD203" i="23"/>
  <c r="AE203" i="23"/>
  <c r="AF203" i="23"/>
  <c r="AG203" i="23"/>
  <c r="AH203" i="23"/>
  <c r="AI203" i="23"/>
  <c r="AJ203" i="23"/>
  <c r="AK203" i="23"/>
  <c r="AL203" i="23"/>
  <c r="AM203" i="23"/>
  <c r="AN203" i="23"/>
  <c r="AO203" i="23"/>
  <c r="AP203" i="23"/>
  <c r="AQ203" i="23"/>
  <c r="AR203" i="23"/>
  <c r="AS203" i="23"/>
  <c r="AU203" i="23"/>
  <c r="AV203" i="23"/>
  <c r="AW203" i="23"/>
  <c r="AZ203" i="23"/>
  <c r="BA203" i="23"/>
  <c r="BD203" i="23"/>
  <c r="BE203" i="23"/>
  <c r="BF203" i="23"/>
  <c r="BH203" i="23"/>
  <c r="BI203" i="23"/>
  <c r="BJ203" i="23"/>
  <c r="BK203" i="23"/>
  <c r="BL203" i="23"/>
  <c r="BM203" i="23"/>
  <c r="BN203" i="23"/>
  <c r="BO203" i="23"/>
  <c r="BP203" i="23"/>
  <c r="BQ203" i="23"/>
  <c r="BR203" i="23"/>
  <c r="BS203" i="23"/>
  <c r="BT203" i="23"/>
  <c r="BU203" i="23"/>
  <c r="BV203" i="23"/>
  <c r="BW203" i="23"/>
  <c r="BX203" i="23"/>
  <c r="BY203" i="23"/>
  <c r="CA203" i="23"/>
  <c r="CB203" i="23"/>
  <c r="CC203" i="23"/>
  <c r="CD203" i="23"/>
  <c r="CE203" i="23"/>
  <c r="CF203" i="23"/>
  <c r="CG203" i="23"/>
  <c r="CH203" i="23"/>
  <c r="CI203" i="23"/>
  <c r="CJ203" i="23"/>
  <c r="CK203" i="23"/>
  <c r="CM203" i="23"/>
  <c r="CN203" i="23"/>
  <c r="CO203" i="23"/>
  <c r="CP203" i="23"/>
  <c r="CQ203" i="23"/>
  <c r="CR203" i="23"/>
  <c r="CS203" i="23"/>
  <c r="CT203" i="23"/>
  <c r="CU203" i="23"/>
  <c r="CV203" i="23"/>
  <c r="CW203" i="23"/>
  <c r="CX203" i="23"/>
  <c r="CY203" i="23"/>
  <c r="CZ203" i="23"/>
  <c r="DA203" i="23"/>
  <c r="DD203" i="23"/>
  <c r="DE203" i="23"/>
  <c r="DF203" i="23"/>
  <c r="DH203" i="23"/>
  <c r="DI203" i="23"/>
  <c r="DJ203" i="23"/>
  <c r="DL203" i="23"/>
  <c r="DM203" i="23"/>
  <c r="DO203" i="23"/>
  <c r="DP203" i="23"/>
  <c r="DQ203" i="23"/>
  <c r="DR203" i="23"/>
  <c r="DS203" i="23"/>
  <c r="DT203" i="23"/>
  <c r="DU203" i="23"/>
  <c r="DV203" i="23"/>
  <c r="DW203" i="23"/>
  <c r="DX203" i="23"/>
  <c r="DY203" i="23"/>
  <c r="DZ203" i="23"/>
  <c r="EA203" i="23"/>
  <c r="EB203" i="23"/>
  <c r="EC203" i="23"/>
  <c r="EF203" i="23"/>
  <c r="EG203" i="23"/>
  <c r="EH203" i="23"/>
  <c r="C204" i="23"/>
  <c r="D204" i="23"/>
  <c r="E204" i="23"/>
  <c r="F204" i="23"/>
  <c r="H204" i="23"/>
  <c r="I204" i="23"/>
  <c r="J204" i="23"/>
  <c r="K204" i="23"/>
  <c r="L204" i="23"/>
  <c r="M204" i="23"/>
  <c r="O204" i="23"/>
  <c r="P204" i="23"/>
  <c r="Q204" i="23"/>
  <c r="R204" i="23"/>
  <c r="S204" i="23"/>
  <c r="T204" i="23"/>
  <c r="U204" i="23"/>
  <c r="V204" i="23"/>
  <c r="X204" i="23"/>
  <c r="Y204" i="23"/>
  <c r="Z204" i="23"/>
  <c r="AA204" i="23"/>
  <c r="AB204" i="23"/>
  <c r="AC204" i="23"/>
  <c r="AD204" i="23"/>
  <c r="AE204" i="23"/>
  <c r="AF204" i="23"/>
  <c r="AG204" i="23"/>
  <c r="AI204" i="23"/>
  <c r="AJ204" i="23"/>
  <c r="AK204" i="23"/>
  <c r="AL204" i="23"/>
  <c r="AM204" i="23"/>
  <c r="AN204" i="23"/>
  <c r="AO204" i="23"/>
  <c r="AP204" i="23"/>
  <c r="AQ204" i="23"/>
  <c r="AR204" i="23"/>
  <c r="AS204" i="23"/>
  <c r="AU204" i="23"/>
  <c r="AV204" i="23"/>
  <c r="AW204" i="23"/>
  <c r="AZ204" i="23"/>
  <c r="BA204" i="23"/>
  <c r="BD204" i="23"/>
  <c r="BE204" i="23"/>
  <c r="BF204" i="23"/>
  <c r="BH204" i="23"/>
  <c r="BI204" i="23"/>
  <c r="BJ204" i="23"/>
  <c r="BK204" i="23"/>
  <c r="BL204" i="23"/>
  <c r="BM204" i="23"/>
  <c r="BN204" i="23"/>
  <c r="BO204" i="23"/>
  <c r="BP204" i="23"/>
  <c r="BQ204" i="23"/>
  <c r="BR204" i="23"/>
  <c r="BS204" i="23"/>
  <c r="BT204" i="23"/>
  <c r="BU204" i="23"/>
  <c r="BV204" i="23"/>
  <c r="BW204" i="23"/>
  <c r="BX204" i="23"/>
  <c r="BY204" i="23"/>
  <c r="BZ204" i="23"/>
  <c r="CA204" i="23"/>
  <c r="CB204" i="23"/>
  <c r="CC204" i="23"/>
  <c r="CD204" i="23"/>
  <c r="CE204" i="23"/>
  <c r="CF204" i="23"/>
  <c r="CG204" i="23"/>
  <c r="CH204" i="23"/>
  <c r="CI204" i="23"/>
  <c r="CJ204" i="23"/>
  <c r="CK204" i="23"/>
  <c r="CL204" i="23"/>
  <c r="CN204" i="23"/>
  <c r="CO204" i="23"/>
  <c r="CQ204" i="23"/>
  <c r="CR204" i="23"/>
  <c r="CS204" i="23"/>
  <c r="CT204" i="23"/>
  <c r="CU204" i="23"/>
  <c r="CV204" i="23"/>
  <c r="CW204" i="23"/>
  <c r="CX204" i="23"/>
  <c r="CY204" i="23"/>
  <c r="CZ204" i="23"/>
  <c r="DA204" i="23"/>
  <c r="DD204" i="23"/>
  <c r="DE204" i="23"/>
  <c r="DF204" i="23"/>
  <c r="DH204" i="23"/>
  <c r="DI204" i="23"/>
  <c r="DJ204" i="23"/>
  <c r="DL204" i="23"/>
  <c r="DM204" i="23"/>
  <c r="DN204" i="23"/>
  <c r="DO204" i="23"/>
  <c r="DP204" i="23"/>
  <c r="DQ204" i="23"/>
  <c r="DR204" i="23"/>
  <c r="DS204" i="23"/>
  <c r="DT204" i="23"/>
  <c r="DU204" i="23"/>
  <c r="DV204" i="23"/>
  <c r="DW204" i="23"/>
  <c r="DX204" i="23"/>
  <c r="DY204" i="23"/>
  <c r="DZ204" i="23"/>
  <c r="EA204" i="23"/>
  <c r="EB204" i="23"/>
  <c r="EC204" i="23"/>
  <c r="ED204" i="23"/>
  <c r="EF204" i="23"/>
  <c r="EG204" i="23"/>
  <c r="C205" i="23"/>
  <c r="D205" i="23"/>
  <c r="E205" i="23"/>
  <c r="F205" i="23"/>
  <c r="H205" i="23"/>
  <c r="I205" i="23"/>
  <c r="J205" i="23"/>
  <c r="K205" i="23"/>
  <c r="L205" i="23"/>
  <c r="M205" i="23"/>
  <c r="O205" i="23"/>
  <c r="P205" i="23"/>
  <c r="Q205" i="23"/>
  <c r="R205" i="23"/>
  <c r="S205" i="23"/>
  <c r="T205" i="23"/>
  <c r="U205" i="23"/>
  <c r="V205" i="23"/>
  <c r="W205" i="23"/>
  <c r="X205" i="23"/>
  <c r="Y205" i="23"/>
  <c r="AA205" i="23"/>
  <c r="AB205" i="23"/>
  <c r="AC205" i="23"/>
  <c r="AD205" i="23"/>
  <c r="AE205" i="23"/>
  <c r="AF205" i="23"/>
  <c r="AG205" i="23"/>
  <c r="AH205" i="23"/>
  <c r="AI205" i="23"/>
  <c r="AJ205" i="23"/>
  <c r="AK205" i="23"/>
  <c r="AM205" i="23"/>
  <c r="AN205" i="23"/>
  <c r="AO205" i="23"/>
  <c r="AQ205" i="23"/>
  <c r="AR205" i="23"/>
  <c r="AS205" i="23"/>
  <c r="AT205" i="23"/>
  <c r="AV205" i="23"/>
  <c r="AW205" i="23"/>
  <c r="AX205" i="23"/>
  <c r="AZ205" i="23"/>
  <c r="BA205" i="23"/>
  <c r="BD205" i="23"/>
  <c r="BE205" i="23"/>
  <c r="BF205" i="23"/>
  <c r="BH205" i="23"/>
  <c r="BI205" i="23"/>
  <c r="BJ205" i="23"/>
  <c r="BK205" i="23"/>
  <c r="BL205" i="23"/>
  <c r="BM205" i="23"/>
  <c r="BN205" i="23"/>
  <c r="BO205" i="23"/>
  <c r="BP205" i="23"/>
  <c r="BQ205" i="23"/>
  <c r="BS205" i="23"/>
  <c r="BT205" i="23"/>
  <c r="BU205" i="23"/>
  <c r="BW205" i="23"/>
  <c r="BX205" i="23"/>
  <c r="BY205" i="23"/>
  <c r="BZ205" i="23"/>
  <c r="CA205" i="23"/>
  <c r="CB205" i="23"/>
  <c r="CC205" i="23"/>
  <c r="CE205" i="23"/>
  <c r="CF205" i="23"/>
  <c r="CG205" i="23"/>
  <c r="CH205" i="23"/>
  <c r="CI205" i="23"/>
  <c r="CJ205" i="23"/>
  <c r="CK205" i="23"/>
  <c r="CL205" i="23"/>
  <c r="CM205" i="23"/>
  <c r="CN205" i="23"/>
  <c r="CO205" i="23"/>
  <c r="CQ205" i="23"/>
  <c r="CR205" i="23"/>
  <c r="CS205" i="23"/>
  <c r="CT205" i="23"/>
  <c r="CU205" i="23"/>
  <c r="CV205" i="23"/>
  <c r="CW205" i="23"/>
  <c r="CY205" i="23"/>
  <c r="CZ205" i="23"/>
  <c r="DA205" i="23"/>
  <c r="DD205" i="23"/>
  <c r="DE205" i="23"/>
  <c r="DH205" i="23"/>
  <c r="DI205" i="23"/>
  <c r="DL205" i="23"/>
  <c r="DM205" i="23"/>
  <c r="DN205" i="23"/>
  <c r="DO205" i="23"/>
  <c r="DP205" i="23"/>
  <c r="DQ205" i="23"/>
  <c r="DR205" i="23"/>
  <c r="DS205" i="23"/>
  <c r="DT205" i="23"/>
  <c r="DU205" i="23"/>
  <c r="DV205" i="23"/>
  <c r="DW205" i="23"/>
  <c r="DX205" i="23"/>
  <c r="DY205" i="23"/>
  <c r="DZ205" i="23"/>
  <c r="EA205" i="23"/>
  <c r="EB205" i="23"/>
  <c r="EC205" i="23"/>
  <c r="ED205" i="23"/>
  <c r="EF205" i="23"/>
  <c r="EG205" i="23"/>
  <c r="EH205" i="23"/>
  <c r="C206" i="23"/>
  <c r="D206" i="23"/>
  <c r="E206" i="23"/>
  <c r="F206" i="23"/>
  <c r="G206" i="23"/>
  <c r="H206" i="23"/>
  <c r="I206" i="23"/>
  <c r="J206" i="23"/>
  <c r="K206" i="23"/>
  <c r="L206" i="23"/>
  <c r="M206" i="23"/>
  <c r="O206" i="23"/>
  <c r="P206" i="23"/>
  <c r="Q206" i="23"/>
  <c r="R206" i="23"/>
  <c r="S206" i="23"/>
  <c r="T206" i="23"/>
  <c r="U206" i="23"/>
  <c r="V206" i="23"/>
  <c r="W206" i="23"/>
  <c r="X206" i="23"/>
  <c r="Y206" i="23"/>
  <c r="AA206" i="23"/>
  <c r="AB206" i="23"/>
  <c r="AC206" i="23"/>
  <c r="AD206" i="23"/>
  <c r="AE206" i="23"/>
  <c r="AF206" i="23"/>
  <c r="AG206" i="23"/>
  <c r="AI206" i="23"/>
  <c r="AJ206" i="23"/>
  <c r="AK206" i="23"/>
  <c r="AM206" i="23"/>
  <c r="AN206" i="23"/>
  <c r="AO206" i="23"/>
  <c r="AP206" i="23"/>
  <c r="AQ206" i="23"/>
  <c r="AR206" i="23"/>
  <c r="AS206" i="23"/>
  <c r="AT206" i="23"/>
  <c r="AV206" i="23"/>
  <c r="AW206" i="23"/>
  <c r="AX206" i="23"/>
  <c r="AZ206" i="23"/>
  <c r="BA206" i="23"/>
  <c r="BD206" i="23"/>
  <c r="BE206" i="23"/>
  <c r="BH206" i="23"/>
  <c r="BI206" i="23"/>
  <c r="BJ206" i="23"/>
  <c r="BK206" i="23"/>
  <c r="BL206" i="23"/>
  <c r="BM206" i="23"/>
  <c r="BN206" i="23"/>
  <c r="BO206" i="23"/>
  <c r="BP206" i="23"/>
  <c r="BQ206" i="23"/>
  <c r="BR206" i="23"/>
  <c r="BS206" i="23"/>
  <c r="BT206" i="23"/>
  <c r="BU206" i="23"/>
  <c r="BW206" i="23"/>
  <c r="BX206" i="23"/>
  <c r="BY206" i="23"/>
  <c r="BZ206" i="23"/>
  <c r="CA206" i="23"/>
  <c r="CB206" i="23"/>
  <c r="CC206" i="23"/>
  <c r="CE206" i="23"/>
  <c r="CF206" i="23"/>
  <c r="CG206" i="23"/>
  <c r="CH206" i="23"/>
  <c r="CJ206" i="23"/>
  <c r="CK206" i="23"/>
  <c r="CL206" i="23"/>
  <c r="CM206" i="23"/>
  <c r="CN206" i="23"/>
  <c r="CO206" i="23"/>
  <c r="CP206" i="23"/>
  <c r="CQ206" i="23"/>
  <c r="CR206" i="23"/>
  <c r="CS206" i="23"/>
  <c r="CT206" i="23"/>
  <c r="CU206" i="23"/>
  <c r="CV206" i="23"/>
  <c r="CW206" i="23"/>
  <c r="CY206" i="23"/>
  <c r="CZ206" i="23"/>
  <c r="DA206" i="23"/>
  <c r="DD206" i="23"/>
  <c r="DE206" i="23"/>
  <c r="DF206" i="23"/>
  <c r="DH206" i="23"/>
  <c r="DI206" i="23"/>
  <c r="DL206" i="23"/>
  <c r="DM206" i="23"/>
  <c r="DN206" i="23"/>
  <c r="DO206" i="23"/>
  <c r="DP206" i="23"/>
  <c r="DQ206" i="23"/>
  <c r="DR206" i="23"/>
  <c r="DS206" i="23"/>
  <c r="DT206" i="23"/>
  <c r="DU206" i="23"/>
  <c r="DV206" i="23"/>
  <c r="DW206" i="23"/>
  <c r="DX206" i="23"/>
  <c r="DY206" i="23"/>
  <c r="DZ206" i="23"/>
  <c r="EA206" i="23"/>
  <c r="EB206" i="23"/>
  <c r="EC206" i="23"/>
  <c r="ED206" i="23"/>
  <c r="EF206" i="23"/>
  <c r="EG206" i="23"/>
  <c r="EH206" i="23"/>
  <c r="C207" i="23"/>
  <c r="D207" i="23"/>
  <c r="E207" i="23"/>
  <c r="F207" i="23"/>
  <c r="H207" i="23"/>
  <c r="I207" i="23"/>
  <c r="J207" i="23"/>
  <c r="K207" i="23"/>
  <c r="L207" i="23"/>
  <c r="M207" i="23"/>
  <c r="O207" i="23"/>
  <c r="P207" i="23"/>
  <c r="Q207" i="23"/>
  <c r="R207" i="23"/>
  <c r="S207" i="23"/>
  <c r="T207" i="23"/>
  <c r="U207" i="23"/>
  <c r="V207" i="23"/>
  <c r="W207" i="23"/>
  <c r="X207" i="23"/>
  <c r="Y207" i="23"/>
  <c r="AA207" i="23"/>
  <c r="AB207" i="23"/>
  <c r="AC207" i="23"/>
  <c r="AD207" i="23"/>
  <c r="AE207" i="23"/>
  <c r="AF207" i="23"/>
  <c r="AG207" i="23"/>
  <c r="AI207" i="23"/>
  <c r="AJ207" i="23"/>
  <c r="AK207" i="23"/>
  <c r="AM207" i="23"/>
  <c r="AN207" i="23"/>
  <c r="AO207" i="23"/>
  <c r="AQ207" i="23"/>
  <c r="AR207" i="23"/>
  <c r="AS207" i="23"/>
  <c r="AT207" i="23"/>
  <c r="AU207" i="23"/>
  <c r="AV207" i="23"/>
  <c r="AW207" i="23"/>
  <c r="AZ207" i="23"/>
  <c r="BA207" i="23"/>
  <c r="BD207" i="23"/>
  <c r="BE207" i="23"/>
  <c r="BF207" i="23"/>
  <c r="BH207" i="23"/>
  <c r="BI207" i="23"/>
  <c r="BJ207" i="23"/>
  <c r="BK207" i="23"/>
  <c r="BL207" i="23"/>
  <c r="BM207" i="23"/>
  <c r="BN207" i="23"/>
  <c r="BO207" i="23"/>
  <c r="BP207" i="23"/>
  <c r="BQ207" i="23"/>
  <c r="BS207" i="23"/>
  <c r="BT207" i="23"/>
  <c r="BU207" i="23"/>
  <c r="BW207" i="23"/>
  <c r="BX207" i="23"/>
  <c r="BY207" i="23"/>
  <c r="BZ207" i="23"/>
  <c r="CA207" i="23"/>
  <c r="CB207" i="23"/>
  <c r="CC207" i="23"/>
  <c r="CE207" i="23"/>
  <c r="CF207" i="23"/>
  <c r="CG207" i="23"/>
  <c r="CH207" i="23"/>
  <c r="CI207" i="23"/>
  <c r="CJ207" i="23"/>
  <c r="CK207" i="23"/>
  <c r="CL207" i="23"/>
  <c r="CM207" i="23"/>
  <c r="CN207" i="23"/>
  <c r="CO207" i="23"/>
  <c r="CP207" i="23"/>
  <c r="CQ207" i="23"/>
  <c r="CR207" i="23"/>
  <c r="CS207" i="23"/>
  <c r="CT207" i="23"/>
  <c r="CU207" i="23"/>
  <c r="CV207" i="23"/>
  <c r="CW207" i="23"/>
  <c r="CY207" i="23"/>
  <c r="CZ207" i="23"/>
  <c r="DA207" i="23"/>
  <c r="DD207" i="23"/>
  <c r="DE207" i="23"/>
  <c r="DH207" i="23"/>
  <c r="DI207" i="23"/>
  <c r="DL207" i="23"/>
  <c r="DM207" i="23"/>
  <c r="DN207" i="23"/>
  <c r="DO207" i="23"/>
  <c r="DP207" i="23"/>
  <c r="DQ207" i="23"/>
  <c r="DR207" i="23"/>
  <c r="DS207" i="23"/>
  <c r="DT207" i="23"/>
  <c r="DU207" i="23"/>
  <c r="DV207" i="23"/>
  <c r="DW207" i="23"/>
  <c r="DX207" i="23"/>
  <c r="DY207" i="23"/>
  <c r="DZ207" i="23"/>
  <c r="EA207" i="23"/>
  <c r="EB207" i="23"/>
  <c r="EC207" i="23"/>
  <c r="ED207" i="23"/>
  <c r="EF207" i="23"/>
  <c r="EG207" i="23"/>
  <c r="C208" i="23"/>
  <c r="D208" i="23"/>
  <c r="E208" i="23"/>
  <c r="F208" i="23"/>
  <c r="H208" i="23"/>
  <c r="I208" i="23"/>
  <c r="J208" i="23"/>
  <c r="K208" i="23"/>
  <c r="L208" i="23"/>
  <c r="M208" i="23"/>
  <c r="N208" i="23"/>
  <c r="O208" i="23"/>
  <c r="P208" i="23"/>
  <c r="Q208" i="23"/>
  <c r="R208" i="23"/>
  <c r="T208" i="23"/>
  <c r="U208" i="23"/>
  <c r="V208" i="23"/>
  <c r="W208" i="23"/>
  <c r="X208" i="23"/>
  <c r="Y208" i="23"/>
  <c r="AB208" i="23"/>
  <c r="AC208" i="23"/>
  <c r="AD208" i="23"/>
  <c r="AE208" i="23"/>
  <c r="AF208" i="23"/>
  <c r="AG208" i="23"/>
  <c r="AI208" i="23"/>
  <c r="AJ208" i="23"/>
  <c r="AK208" i="23"/>
  <c r="AL208" i="23"/>
  <c r="AN208" i="23"/>
  <c r="AO208" i="23"/>
  <c r="AP208" i="23"/>
  <c r="AQ208" i="23"/>
  <c r="AR208" i="23"/>
  <c r="AS208" i="23"/>
  <c r="AT208" i="23"/>
  <c r="AV208" i="23"/>
  <c r="AW208" i="23"/>
  <c r="AX208" i="23"/>
  <c r="AZ208" i="23"/>
  <c r="BA208" i="23"/>
  <c r="BD208" i="23"/>
  <c r="BE208" i="23"/>
  <c r="BF208" i="23"/>
  <c r="BG208" i="23"/>
  <c r="BH208" i="23"/>
  <c r="BI208" i="23"/>
  <c r="BJ208" i="23"/>
  <c r="BK208" i="23"/>
  <c r="BL208" i="23"/>
  <c r="BM208" i="23"/>
  <c r="BO208" i="23"/>
  <c r="BP208" i="23"/>
  <c r="BQ208" i="23"/>
  <c r="BR208" i="23"/>
  <c r="BS208" i="23"/>
  <c r="BT208" i="23"/>
  <c r="BU208" i="23"/>
  <c r="BV208" i="23"/>
  <c r="BW208" i="23"/>
  <c r="BX208" i="23"/>
  <c r="BY208" i="23"/>
  <c r="BZ208" i="23"/>
  <c r="CA208" i="23"/>
  <c r="CB208" i="23"/>
  <c r="CC208" i="23"/>
  <c r="CD208" i="23"/>
  <c r="CE208" i="23"/>
  <c r="CF208" i="23"/>
  <c r="CG208" i="23"/>
  <c r="CH208" i="23"/>
  <c r="CI208" i="23"/>
  <c r="CJ208" i="23"/>
  <c r="CK208" i="23"/>
  <c r="CL208" i="23"/>
  <c r="CM208" i="23"/>
  <c r="CN208" i="23"/>
  <c r="CO208" i="23"/>
  <c r="CP208" i="23"/>
  <c r="CQ208" i="23"/>
  <c r="CR208" i="23"/>
  <c r="CS208" i="23"/>
  <c r="CT208" i="23"/>
  <c r="CU208" i="23"/>
  <c r="CV208" i="23"/>
  <c r="CW208" i="23"/>
  <c r="CY208" i="23"/>
  <c r="CZ208" i="23"/>
  <c r="DA208" i="23"/>
  <c r="DD208" i="23"/>
  <c r="DE208" i="23"/>
  <c r="DF208" i="23"/>
  <c r="DG208" i="23"/>
  <c r="DH208" i="23"/>
  <c r="DI208" i="23"/>
  <c r="DJ208" i="23"/>
  <c r="DL208" i="23"/>
  <c r="DM208" i="23"/>
  <c r="DN208" i="23"/>
  <c r="DO208" i="23"/>
  <c r="DP208" i="23"/>
  <c r="DQ208" i="23"/>
  <c r="DR208" i="23"/>
  <c r="DS208" i="23"/>
  <c r="DT208" i="23"/>
  <c r="DU208" i="23"/>
  <c r="DV208" i="23"/>
  <c r="DW208" i="23"/>
  <c r="DX208" i="23"/>
  <c r="DY208" i="23"/>
  <c r="DZ208" i="23"/>
  <c r="EA208" i="23"/>
  <c r="EB208" i="23"/>
  <c r="EC208" i="23"/>
  <c r="ED208" i="23"/>
  <c r="EF208" i="23"/>
  <c r="EG208" i="23"/>
  <c r="C209" i="23"/>
  <c r="D209" i="23"/>
  <c r="E209" i="23"/>
  <c r="F209" i="23"/>
  <c r="G209" i="23"/>
  <c r="H209" i="23"/>
  <c r="I209" i="23"/>
  <c r="J209" i="23"/>
  <c r="K209" i="23"/>
  <c r="L209" i="23"/>
  <c r="M209" i="23"/>
  <c r="O209" i="23"/>
  <c r="P209" i="23"/>
  <c r="Q209" i="23"/>
  <c r="R209" i="23"/>
  <c r="T209" i="23"/>
  <c r="U209" i="23"/>
  <c r="V209" i="23"/>
  <c r="W209" i="23"/>
  <c r="X209" i="23"/>
  <c r="Y209" i="23"/>
  <c r="AB209" i="23"/>
  <c r="AC209" i="23"/>
  <c r="AD209" i="23"/>
  <c r="AE209" i="23"/>
  <c r="AF209" i="23"/>
  <c r="AG209" i="23"/>
  <c r="AI209" i="23"/>
  <c r="AJ209" i="23"/>
  <c r="AK209" i="23"/>
  <c r="AL209" i="23"/>
  <c r="AN209" i="23"/>
  <c r="AO209" i="23"/>
  <c r="AP209" i="23"/>
  <c r="AQ209" i="23"/>
  <c r="AR209" i="23"/>
  <c r="AS209" i="23"/>
  <c r="AT209" i="23"/>
  <c r="AV209" i="23"/>
  <c r="AW209" i="23"/>
  <c r="AX209" i="23"/>
  <c r="AZ209" i="23"/>
  <c r="BA209" i="23"/>
  <c r="BD209" i="23"/>
  <c r="BE209" i="23"/>
  <c r="BF209" i="23"/>
  <c r="BG209" i="23"/>
  <c r="BH209" i="23"/>
  <c r="BI209" i="23"/>
  <c r="BJ209" i="23"/>
  <c r="BK209" i="23"/>
  <c r="BL209" i="23"/>
  <c r="BM209" i="23"/>
  <c r="BO209" i="23"/>
  <c r="BP209" i="23"/>
  <c r="BQ209" i="23"/>
  <c r="BR209" i="23"/>
  <c r="BS209" i="23"/>
  <c r="BT209" i="23"/>
  <c r="BU209" i="23"/>
  <c r="BV209" i="23"/>
  <c r="BW209" i="23"/>
  <c r="BX209" i="23"/>
  <c r="BY209" i="23"/>
  <c r="BZ209" i="23"/>
  <c r="CA209" i="23"/>
  <c r="CB209" i="23"/>
  <c r="CC209" i="23"/>
  <c r="CD209" i="23"/>
  <c r="CE209" i="23"/>
  <c r="CF209" i="23"/>
  <c r="CG209" i="23"/>
  <c r="CH209" i="23"/>
  <c r="CJ209" i="23"/>
  <c r="CK209" i="23"/>
  <c r="CL209" i="23"/>
  <c r="CM209" i="23"/>
  <c r="CN209" i="23"/>
  <c r="CO209" i="23"/>
  <c r="CP209" i="23"/>
  <c r="CQ209" i="23"/>
  <c r="CR209" i="23"/>
  <c r="CS209" i="23"/>
  <c r="CT209" i="23"/>
  <c r="CU209" i="23"/>
  <c r="CV209" i="23"/>
  <c r="CW209" i="23"/>
  <c r="CY209" i="23"/>
  <c r="CZ209" i="23"/>
  <c r="DA209" i="23"/>
  <c r="DD209" i="23"/>
  <c r="DE209" i="23"/>
  <c r="DG209" i="23"/>
  <c r="DH209" i="23"/>
  <c r="DI209" i="23"/>
  <c r="DJ209" i="23"/>
  <c r="DL209" i="23"/>
  <c r="DM209" i="23"/>
  <c r="DN209" i="23"/>
  <c r="DO209" i="23"/>
  <c r="DP209" i="23"/>
  <c r="DQ209" i="23"/>
  <c r="DR209" i="23"/>
  <c r="DS209" i="23"/>
  <c r="DT209" i="23"/>
  <c r="DU209" i="23"/>
  <c r="DV209" i="23"/>
  <c r="DX209" i="23"/>
  <c r="DY209" i="23"/>
  <c r="DZ209" i="23"/>
  <c r="EA209" i="23"/>
  <c r="EB209" i="23"/>
  <c r="EC209" i="23"/>
  <c r="ED209" i="23"/>
  <c r="EF209" i="23"/>
  <c r="EG209" i="23"/>
  <c r="C210" i="23"/>
  <c r="D210" i="23"/>
  <c r="E210" i="23"/>
  <c r="F210" i="23"/>
  <c r="G210" i="23"/>
  <c r="H210" i="23"/>
  <c r="I210" i="23"/>
  <c r="J210" i="23"/>
  <c r="K210" i="23"/>
  <c r="L210" i="23"/>
  <c r="M210" i="23"/>
  <c r="N210" i="23"/>
  <c r="O210" i="23"/>
  <c r="P210" i="23"/>
  <c r="Q210" i="23"/>
  <c r="R210" i="23"/>
  <c r="T210" i="23"/>
  <c r="U210" i="23"/>
  <c r="V210" i="23"/>
  <c r="W210" i="23"/>
  <c r="X210" i="23"/>
  <c r="Y210" i="23"/>
  <c r="AA210" i="23"/>
  <c r="AB210" i="23"/>
  <c r="AC210" i="23"/>
  <c r="AE210" i="23"/>
  <c r="AF210" i="23"/>
  <c r="AG210" i="23"/>
  <c r="AJ210" i="23"/>
  <c r="AK210" i="23"/>
  <c r="AL210" i="23"/>
  <c r="AN210" i="23"/>
  <c r="AO210" i="23"/>
  <c r="AP210" i="23"/>
  <c r="AQ210" i="23"/>
  <c r="AR210" i="23"/>
  <c r="AS210" i="23"/>
  <c r="AT210" i="23"/>
  <c r="AV210" i="23"/>
  <c r="AW210" i="23"/>
  <c r="AX210" i="23"/>
  <c r="AZ210" i="23"/>
  <c r="BA210" i="23"/>
  <c r="BD210" i="23"/>
  <c r="BE210" i="23"/>
  <c r="BH210" i="23"/>
  <c r="BI210" i="23"/>
  <c r="BJ210" i="23"/>
  <c r="BK210" i="23"/>
  <c r="BL210" i="23"/>
  <c r="BM210" i="23"/>
  <c r="BO210" i="23"/>
  <c r="BP210" i="23"/>
  <c r="BQ210" i="23"/>
  <c r="BR210" i="23"/>
  <c r="BS210" i="23"/>
  <c r="BT210" i="23"/>
  <c r="BU210" i="23"/>
  <c r="BV210" i="23"/>
  <c r="BW210" i="23"/>
  <c r="BX210" i="23"/>
  <c r="BY210" i="23"/>
  <c r="BZ210" i="23"/>
  <c r="CA210" i="23"/>
  <c r="CB210" i="23"/>
  <c r="CC210" i="23"/>
  <c r="CD210" i="23"/>
  <c r="CE210" i="23"/>
  <c r="CF210" i="23"/>
  <c r="CG210" i="23"/>
  <c r="CH210" i="23"/>
  <c r="CJ210" i="23"/>
  <c r="CK210" i="23"/>
  <c r="CL210" i="23"/>
  <c r="CM210" i="23"/>
  <c r="CN210" i="23"/>
  <c r="CO210" i="23"/>
  <c r="CP210" i="23"/>
  <c r="CQ210" i="23"/>
  <c r="CR210" i="23"/>
  <c r="CS210" i="23"/>
  <c r="CT210" i="23"/>
  <c r="CU210" i="23"/>
  <c r="CV210" i="23"/>
  <c r="CW210" i="23"/>
  <c r="CY210" i="23"/>
  <c r="CZ210" i="23"/>
  <c r="DA210" i="23"/>
  <c r="DD210" i="23"/>
  <c r="DE210" i="23"/>
  <c r="DF210" i="23"/>
  <c r="DG210" i="23"/>
  <c r="DH210" i="23"/>
  <c r="DI210" i="23"/>
  <c r="DJ210" i="23"/>
  <c r="DL210" i="23"/>
  <c r="DM210" i="23"/>
  <c r="DN210" i="23"/>
  <c r="DO210" i="23"/>
  <c r="DP210" i="23"/>
  <c r="DQ210" i="23"/>
  <c r="DR210" i="23"/>
  <c r="DS210" i="23"/>
  <c r="DT210" i="23"/>
  <c r="DU210" i="23"/>
  <c r="DV210" i="23"/>
  <c r="DX210" i="23"/>
  <c r="DY210" i="23"/>
  <c r="EA210" i="23"/>
  <c r="EB210" i="23"/>
  <c r="EC210" i="23"/>
  <c r="ED210" i="23"/>
  <c r="EF210" i="23"/>
  <c r="EG210" i="23"/>
  <c r="C211" i="23"/>
  <c r="D211" i="23"/>
  <c r="E211" i="23"/>
  <c r="F211" i="23"/>
  <c r="G211" i="23"/>
  <c r="H211" i="23"/>
  <c r="I211" i="23"/>
  <c r="J211" i="23"/>
  <c r="K211" i="23"/>
  <c r="L211" i="23"/>
  <c r="M211" i="23"/>
  <c r="N211" i="23"/>
  <c r="O211" i="23"/>
  <c r="P211" i="23"/>
  <c r="Q211" i="23"/>
  <c r="R211" i="23"/>
  <c r="T211" i="23"/>
  <c r="U211" i="23"/>
  <c r="V211" i="23"/>
  <c r="W211" i="23"/>
  <c r="X211" i="23"/>
  <c r="Y211" i="23"/>
  <c r="AA211" i="23"/>
  <c r="AB211" i="23"/>
  <c r="AC211" i="23"/>
  <c r="AE211" i="23"/>
  <c r="AF211" i="23"/>
  <c r="AG211" i="23"/>
  <c r="AJ211" i="23"/>
  <c r="AK211" i="23"/>
  <c r="AL211" i="23"/>
  <c r="AN211" i="23"/>
  <c r="AO211" i="23"/>
  <c r="AP211" i="23"/>
  <c r="AQ211" i="23"/>
  <c r="AR211" i="23"/>
  <c r="AS211" i="23"/>
  <c r="AU211" i="23"/>
  <c r="AV211" i="23"/>
  <c r="AW211" i="23"/>
  <c r="AX211" i="23"/>
  <c r="AZ211" i="23"/>
  <c r="BA211" i="23"/>
  <c r="BD211" i="23"/>
  <c r="BE211" i="23"/>
  <c r="BF211" i="23"/>
  <c r="BG211" i="23"/>
  <c r="BH211" i="23"/>
  <c r="BI211" i="23"/>
  <c r="BJ211" i="23"/>
  <c r="BK211" i="23"/>
  <c r="BL211" i="23"/>
  <c r="BM211" i="23"/>
  <c r="BP211" i="23"/>
  <c r="BQ211" i="23"/>
  <c r="BR211" i="23"/>
  <c r="BS211" i="23"/>
  <c r="BT211" i="23"/>
  <c r="BU211" i="23"/>
  <c r="BV211" i="23"/>
  <c r="BX211" i="23"/>
  <c r="BY211" i="23"/>
  <c r="BZ211" i="23"/>
  <c r="CA211" i="23"/>
  <c r="CB211" i="23"/>
  <c r="CC211" i="23"/>
  <c r="CD211" i="23"/>
  <c r="CF211" i="23"/>
  <c r="CG211" i="23"/>
  <c r="CH211" i="23"/>
  <c r="CI211" i="23"/>
  <c r="CJ211" i="23"/>
  <c r="CK211" i="23"/>
  <c r="CL211" i="23"/>
  <c r="CM211" i="23"/>
  <c r="CN211" i="23"/>
  <c r="CO211" i="23"/>
  <c r="CP211" i="23"/>
  <c r="CQ211" i="23"/>
  <c r="CR211" i="23"/>
  <c r="CS211" i="23"/>
  <c r="CT211" i="23"/>
  <c r="CU211" i="23"/>
  <c r="CV211" i="23"/>
  <c r="CW211" i="23"/>
  <c r="CX211" i="23"/>
  <c r="CY211" i="23"/>
  <c r="CZ211" i="23"/>
  <c r="DA211" i="23"/>
  <c r="DD211" i="23"/>
  <c r="DE211" i="23"/>
  <c r="DF211" i="23"/>
  <c r="DG211" i="23"/>
  <c r="DH211" i="23"/>
  <c r="DI211" i="23"/>
  <c r="DJ211" i="23"/>
  <c r="DL211" i="23"/>
  <c r="DM211" i="23"/>
  <c r="DN211" i="23"/>
  <c r="DO211" i="23"/>
  <c r="DP211" i="23"/>
  <c r="DQ211" i="23"/>
  <c r="DR211" i="23"/>
  <c r="DS211" i="23"/>
  <c r="DT211" i="23"/>
  <c r="DU211" i="23"/>
  <c r="DV211" i="23"/>
  <c r="DX211" i="23"/>
  <c r="DY211" i="23"/>
  <c r="EA211" i="23"/>
  <c r="EB211" i="23"/>
  <c r="EC211" i="23"/>
  <c r="ED211" i="23"/>
  <c r="EF211" i="23"/>
  <c r="EG211" i="23"/>
  <c r="C212" i="23"/>
  <c r="D212" i="23"/>
  <c r="E212" i="23"/>
  <c r="F212" i="23"/>
  <c r="G212" i="23"/>
  <c r="H212" i="23"/>
  <c r="I212" i="23"/>
  <c r="J212" i="23"/>
  <c r="K212" i="23"/>
  <c r="L212" i="23"/>
  <c r="M212" i="23"/>
  <c r="N212" i="23"/>
  <c r="O212" i="23"/>
  <c r="P212" i="23"/>
  <c r="Q212" i="23"/>
  <c r="R212" i="23"/>
  <c r="T212" i="23"/>
  <c r="U212" i="23"/>
  <c r="V212" i="23"/>
  <c r="W212" i="23"/>
  <c r="X212" i="23"/>
  <c r="Y212" i="23"/>
  <c r="AB212" i="23"/>
  <c r="AC212" i="23"/>
  <c r="AD212" i="23"/>
  <c r="AE212" i="23"/>
  <c r="AF212" i="23"/>
  <c r="AG212" i="23"/>
  <c r="AI212" i="23"/>
  <c r="AJ212" i="23"/>
  <c r="AK212" i="23"/>
  <c r="AL212" i="23"/>
  <c r="AN212" i="23"/>
  <c r="AO212" i="23"/>
  <c r="AP212" i="23"/>
  <c r="AQ212" i="23"/>
  <c r="AR212" i="23"/>
  <c r="AS212" i="23"/>
  <c r="AT212" i="23"/>
  <c r="AU212" i="23"/>
  <c r="AV212" i="23"/>
  <c r="AW212" i="23"/>
  <c r="AZ212" i="23"/>
  <c r="BA212" i="23"/>
  <c r="BD212" i="23"/>
  <c r="BE212" i="23"/>
  <c r="BF212" i="23"/>
  <c r="BG212" i="23"/>
  <c r="BH212" i="23"/>
  <c r="BI212" i="23"/>
  <c r="BJ212" i="23"/>
  <c r="BK212" i="23"/>
  <c r="BL212" i="23"/>
  <c r="BM212" i="23"/>
  <c r="BO212" i="23"/>
  <c r="BP212" i="23"/>
  <c r="BQ212" i="23"/>
  <c r="BR212" i="23"/>
  <c r="BS212" i="23"/>
  <c r="BT212" i="23"/>
  <c r="BU212" i="23"/>
  <c r="BV212" i="23"/>
  <c r="BW212" i="23"/>
  <c r="BX212" i="23"/>
  <c r="BY212" i="23"/>
  <c r="BZ212" i="23"/>
  <c r="CA212" i="23"/>
  <c r="CB212" i="23"/>
  <c r="CC212" i="23"/>
  <c r="CD212" i="23"/>
  <c r="CE212" i="23"/>
  <c r="CF212" i="23"/>
  <c r="CG212" i="23"/>
  <c r="CH212" i="23"/>
  <c r="CI212" i="23"/>
  <c r="CJ212" i="23"/>
  <c r="CK212" i="23"/>
  <c r="CL212" i="23"/>
  <c r="CM212" i="23"/>
  <c r="CN212" i="23"/>
  <c r="CO212" i="23"/>
  <c r="CP212" i="23"/>
  <c r="CQ212" i="23"/>
  <c r="CR212" i="23"/>
  <c r="CS212" i="23"/>
  <c r="CT212" i="23"/>
  <c r="CU212" i="23"/>
  <c r="CV212" i="23"/>
  <c r="CW212" i="23"/>
  <c r="CX212" i="23"/>
  <c r="CY212" i="23"/>
  <c r="CZ212" i="23"/>
  <c r="DA212" i="23"/>
  <c r="DD212" i="23"/>
  <c r="DE212" i="23"/>
  <c r="DF212" i="23"/>
  <c r="DH212" i="23"/>
  <c r="DI212" i="23"/>
  <c r="DJ212" i="23"/>
  <c r="DL212" i="23"/>
  <c r="DM212" i="23"/>
  <c r="DN212" i="23"/>
  <c r="DO212" i="23"/>
  <c r="DP212" i="23"/>
  <c r="DQ212" i="23"/>
  <c r="DR212" i="23"/>
  <c r="DS212" i="23"/>
  <c r="DT212" i="23"/>
  <c r="DU212" i="23"/>
  <c r="DV212" i="23"/>
  <c r="DX212" i="23"/>
  <c r="DY212" i="23"/>
  <c r="DZ212" i="23"/>
  <c r="EA212" i="23"/>
  <c r="EB212" i="23"/>
  <c r="EC212" i="23"/>
  <c r="ED212" i="23"/>
  <c r="EF212" i="23"/>
  <c r="EG212" i="23"/>
  <c r="C213" i="23"/>
  <c r="D213" i="23"/>
  <c r="E213" i="23"/>
  <c r="G213" i="23"/>
  <c r="H213" i="23"/>
  <c r="I213" i="23"/>
  <c r="K213" i="23"/>
  <c r="L213" i="23"/>
  <c r="M213" i="23"/>
  <c r="N213" i="23"/>
  <c r="O213" i="23"/>
  <c r="P213" i="23"/>
  <c r="Q213" i="23"/>
  <c r="R213" i="23"/>
  <c r="S213" i="23"/>
  <c r="T213" i="23"/>
  <c r="U213" i="23"/>
  <c r="V213" i="23"/>
  <c r="W213" i="23"/>
  <c r="X213" i="23"/>
  <c r="Y213" i="23"/>
  <c r="Z213" i="23"/>
  <c r="AA213" i="23"/>
  <c r="AB213" i="23"/>
  <c r="AC213" i="23"/>
  <c r="AD213" i="23"/>
  <c r="AE213" i="23"/>
  <c r="AF213" i="23"/>
  <c r="AG213" i="23"/>
  <c r="AI213" i="23"/>
  <c r="AJ213" i="23"/>
  <c r="AK213" i="23"/>
  <c r="AL213" i="23"/>
  <c r="AM213" i="23"/>
  <c r="AN213" i="23"/>
  <c r="AO213" i="23"/>
  <c r="AP213" i="23"/>
  <c r="AQ213" i="23"/>
  <c r="AR213" i="23"/>
  <c r="AS213" i="23"/>
  <c r="AT213" i="23"/>
  <c r="AV213" i="23"/>
  <c r="AW213" i="23"/>
  <c r="AX213" i="23"/>
  <c r="AZ213" i="23"/>
  <c r="BA213" i="23"/>
  <c r="BD213" i="23"/>
  <c r="BE213" i="23"/>
  <c r="BG213" i="23"/>
  <c r="BH213" i="23"/>
  <c r="BI213" i="23"/>
  <c r="BJ213" i="23"/>
  <c r="BL213" i="23"/>
  <c r="BM213" i="23"/>
  <c r="BN213" i="23"/>
  <c r="BO213" i="23"/>
  <c r="BP213" i="23"/>
  <c r="BQ213" i="23"/>
  <c r="BS213" i="23"/>
  <c r="BT213" i="23"/>
  <c r="BU213" i="23"/>
  <c r="BV213" i="23"/>
  <c r="BW213" i="23"/>
  <c r="BX213" i="23"/>
  <c r="BY213" i="23"/>
  <c r="BZ213" i="23"/>
  <c r="CA213" i="23"/>
  <c r="CB213" i="23"/>
  <c r="CC213" i="23"/>
  <c r="CD213" i="23"/>
  <c r="CE213" i="23"/>
  <c r="CF213" i="23"/>
  <c r="CG213" i="23"/>
  <c r="CH213" i="23"/>
  <c r="CI213" i="23"/>
  <c r="CJ213" i="23"/>
  <c r="CK213" i="23"/>
  <c r="CM213" i="23"/>
  <c r="CN213" i="23"/>
  <c r="CO213" i="23"/>
  <c r="CP213" i="23"/>
  <c r="CQ213" i="23"/>
  <c r="CR213" i="23"/>
  <c r="CS213" i="23"/>
  <c r="CV213" i="23"/>
  <c r="CW213" i="23"/>
  <c r="CX213" i="23"/>
  <c r="CZ213" i="23"/>
  <c r="DA213" i="23"/>
  <c r="DD213" i="23"/>
  <c r="DE213" i="23"/>
  <c r="DF213" i="23"/>
  <c r="DG213" i="23"/>
  <c r="DH213" i="23"/>
  <c r="DI213" i="23"/>
  <c r="DJ213" i="23"/>
  <c r="DL213" i="23"/>
  <c r="DM213" i="23"/>
  <c r="DN213" i="23"/>
  <c r="DO213" i="23"/>
  <c r="DP213" i="23"/>
  <c r="DQ213" i="23"/>
  <c r="DR213" i="23"/>
  <c r="DT213" i="23"/>
  <c r="DU213" i="23"/>
  <c r="DV213" i="23"/>
  <c r="DW213" i="23"/>
  <c r="DX213" i="23"/>
  <c r="DY213" i="23"/>
  <c r="DZ213" i="23"/>
  <c r="EA213" i="23"/>
  <c r="EB213" i="23"/>
  <c r="EC213" i="23"/>
  <c r="ED213" i="23"/>
  <c r="EF213" i="23"/>
  <c r="EG213" i="23"/>
  <c r="EH213" i="23"/>
  <c r="EI213" i="23"/>
  <c r="C214" i="23"/>
  <c r="D214" i="23"/>
  <c r="E214" i="23"/>
  <c r="F214" i="23"/>
  <c r="H214" i="23"/>
  <c r="I214" i="23"/>
  <c r="J214" i="23"/>
  <c r="K214" i="23"/>
  <c r="L214" i="23"/>
  <c r="M214" i="23"/>
  <c r="N214" i="23"/>
  <c r="O214" i="23"/>
  <c r="P214" i="23"/>
  <c r="Q214" i="23"/>
  <c r="R214" i="23"/>
  <c r="S214" i="23"/>
  <c r="T214" i="23"/>
  <c r="U214" i="23"/>
  <c r="V214" i="23"/>
  <c r="W214" i="23"/>
  <c r="X214" i="23"/>
  <c r="Y214" i="23"/>
  <c r="AA214" i="23"/>
  <c r="AB214" i="23"/>
  <c r="AC214" i="23"/>
  <c r="AD214" i="23"/>
  <c r="AE214" i="23"/>
  <c r="AF214" i="23"/>
  <c r="AG214" i="23"/>
  <c r="AI214" i="23"/>
  <c r="AJ214" i="23"/>
  <c r="AK214" i="23"/>
  <c r="AL214" i="23"/>
  <c r="AM214" i="23"/>
  <c r="AN214" i="23"/>
  <c r="AO214" i="23"/>
  <c r="AP214" i="23"/>
  <c r="AQ214" i="23"/>
  <c r="AR214" i="23"/>
  <c r="AS214" i="23"/>
  <c r="AT214" i="23"/>
  <c r="AU214" i="23"/>
  <c r="AV214" i="23"/>
  <c r="AW214" i="23"/>
  <c r="AY214" i="23"/>
  <c r="AZ214" i="23"/>
  <c r="BA214" i="23"/>
  <c r="BD214" i="23"/>
  <c r="BE214" i="23"/>
  <c r="BF214" i="23"/>
  <c r="BG214" i="23"/>
  <c r="BH214" i="23"/>
  <c r="BI214" i="23"/>
  <c r="BJ214" i="23"/>
  <c r="BK214" i="23"/>
  <c r="BL214" i="23"/>
  <c r="BM214" i="23"/>
  <c r="BN214" i="23"/>
  <c r="BP214" i="23"/>
  <c r="BQ214" i="23"/>
  <c r="BR214" i="23"/>
  <c r="BS214" i="23"/>
  <c r="BT214" i="23"/>
  <c r="BU214" i="23"/>
  <c r="BV214" i="23"/>
  <c r="BX214" i="23"/>
  <c r="BY214" i="23"/>
  <c r="BZ214" i="23"/>
  <c r="CA214" i="23"/>
  <c r="CB214" i="23"/>
  <c r="CC214" i="23"/>
  <c r="CD214" i="23"/>
  <c r="CF214" i="23"/>
  <c r="CG214" i="23"/>
  <c r="CH214" i="23"/>
  <c r="CI214" i="23"/>
  <c r="CJ214" i="23"/>
  <c r="CK214" i="23"/>
  <c r="CL214" i="23"/>
  <c r="CM214" i="23"/>
  <c r="CN214" i="23"/>
  <c r="CO214" i="23"/>
  <c r="CP214" i="23"/>
  <c r="CQ214" i="23"/>
  <c r="CR214" i="23"/>
  <c r="CS214" i="23"/>
  <c r="CT214" i="23"/>
  <c r="CU214" i="23"/>
  <c r="CV214" i="23"/>
  <c r="CW214" i="23"/>
  <c r="CX214" i="23"/>
  <c r="CY214" i="23"/>
  <c r="CZ214" i="23"/>
  <c r="DA214" i="23"/>
  <c r="DB214" i="23"/>
  <c r="DD214" i="23"/>
  <c r="DE214" i="23"/>
  <c r="DF214" i="23"/>
  <c r="DG214" i="23"/>
  <c r="DH214" i="23"/>
  <c r="DI214" i="23"/>
  <c r="DJ214" i="23"/>
  <c r="DL214" i="23"/>
  <c r="DM214" i="23"/>
  <c r="DM216" i="23" s="1"/>
  <c r="DN214" i="23"/>
  <c r="DO214" i="23"/>
  <c r="DP214" i="23"/>
  <c r="DQ214" i="23"/>
  <c r="DQ216" i="23" s="1"/>
  <c r="DR214" i="23"/>
  <c r="DS214" i="23"/>
  <c r="DT214" i="23"/>
  <c r="DU214" i="23"/>
  <c r="DV214" i="23"/>
  <c r="DW214" i="23"/>
  <c r="DX214" i="23"/>
  <c r="DY214" i="23"/>
  <c r="DZ214" i="23"/>
  <c r="EA214" i="23"/>
  <c r="EB214" i="23"/>
  <c r="EC214" i="23"/>
  <c r="EC216" i="23" s="1"/>
  <c r="ED214" i="23"/>
  <c r="EE214" i="23"/>
  <c r="EF214" i="23"/>
  <c r="EG214" i="23"/>
  <c r="EH214" i="23"/>
  <c r="EI214" i="23"/>
  <c r="C215" i="23"/>
  <c r="D215" i="23"/>
  <c r="E215" i="23"/>
  <c r="F215" i="23"/>
  <c r="G215" i="23"/>
  <c r="H215" i="23"/>
  <c r="I215" i="23"/>
  <c r="J215" i="23"/>
  <c r="L215" i="23"/>
  <c r="M215" i="23"/>
  <c r="P215" i="23"/>
  <c r="Q215" i="23"/>
  <c r="R215" i="23"/>
  <c r="S215" i="23"/>
  <c r="T215" i="23"/>
  <c r="U215" i="23"/>
  <c r="X215" i="23"/>
  <c r="Y215" i="23"/>
  <c r="Z215" i="23"/>
  <c r="AA215" i="23"/>
  <c r="AB215" i="23"/>
  <c r="AC215" i="23"/>
  <c r="AD215" i="23"/>
  <c r="AF215" i="23"/>
  <c r="AG215" i="23"/>
  <c r="AI215" i="23"/>
  <c r="AJ215" i="23"/>
  <c r="AK215" i="23"/>
  <c r="AL215" i="23"/>
  <c r="AM215" i="23"/>
  <c r="AN215" i="23"/>
  <c r="AO215" i="23"/>
  <c r="AP215" i="23"/>
  <c r="AR215" i="23"/>
  <c r="AS215" i="23"/>
  <c r="AT215" i="23"/>
  <c r="AV215" i="23"/>
  <c r="AW215" i="23"/>
  <c r="AX215" i="23"/>
  <c r="AY215" i="23"/>
  <c r="AZ215" i="23"/>
  <c r="BA215" i="23"/>
  <c r="BA216" i="23" s="1"/>
  <c r="BB215" i="23"/>
  <c r="BC215" i="23"/>
  <c r="BD215" i="23"/>
  <c r="BE215" i="23"/>
  <c r="BF215" i="23"/>
  <c r="BG215" i="23"/>
  <c r="BH215" i="23"/>
  <c r="BI215" i="23"/>
  <c r="BK215" i="23"/>
  <c r="BL215" i="23"/>
  <c r="BM215" i="23"/>
  <c r="BN215" i="23"/>
  <c r="BO215" i="23"/>
  <c r="BP215" i="23"/>
  <c r="BQ215" i="23"/>
  <c r="BR215" i="23"/>
  <c r="BT215" i="23"/>
  <c r="BU215" i="23"/>
  <c r="BV215" i="23"/>
  <c r="BW215" i="23"/>
  <c r="BX215" i="23"/>
  <c r="BY215" i="23"/>
  <c r="CA215" i="23"/>
  <c r="CB215" i="23"/>
  <c r="CC215" i="23"/>
  <c r="CD215" i="23"/>
  <c r="CE215" i="23"/>
  <c r="CF215" i="23"/>
  <c r="CG215" i="23"/>
  <c r="CJ215" i="23"/>
  <c r="CK215" i="23"/>
  <c r="CL215" i="23"/>
  <c r="CM215" i="23"/>
  <c r="CN215" i="23"/>
  <c r="CO215" i="23"/>
  <c r="CP215" i="23"/>
  <c r="CR215" i="23"/>
  <c r="CS215" i="23"/>
  <c r="CT215" i="23"/>
  <c r="CV215" i="23"/>
  <c r="CW215" i="23"/>
  <c r="CX215" i="23"/>
  <c r="CY215" i="23"/>
  <c r="CZ215" i="23"/>
  <c r="DA215" i="23"/>
  <c r="DB215" i="23"/>
  <c r="DC215" i="23"/>
  <c r="DD215" i="23"/>
  <c r="DE215" i="23"/>
  <c r="DF215" i="23"/>
  <c r="DG215" i="23"/>
  <c r="DH215" i="23"/>
  <c r="DI215" i="23"/>
  <c r="DJ215" i="23"/>
  <c r="DK215" i="23"/>
  <c r="DL215" i="23"/>
  <c r="DL216" i="23" s="1"/>
  <c r="DM215" i="23"/>
  <c r="DP215" i="23"/>
  <c r="DQ215" i="23"/>
  <c r="DR215" i="23"/>
  <c r="DS215" i="23"/>
  <c r="DT215" i="23"/>
  <c r="DU215" i="23"/>
  <c r="DW215" i="23"/>
  <c r="DX215" i="23"/>
  <c r="DY215" i="23"/>
  <c r="DZ215" i="23"/>
  <c r="EA215" i="23"/>
  <c r="EB215" i="23"/>
  <c r="EC215" i="23"/>
  <c r="ED215" i="23"/>
  <c r="EE215" i="23"/>
  <c r="EF215" i="23"/>
  <c r="EG215" i="23"/>
  <c r="EH215" i="23"/>
  <c r="EI215" i="23"/>
  <c r="C219" i="23"/>
  <c r="D219" i="23"/>
  <c r="E219" i="23"/>
  <c r="G219" i="23"/>
  <c r="H219" i="23"/>
  <c r="I219" i="23"/>
  <c r="K219" i="23"/>
  <c r="L219" i="23"/>
  <c r="M219" i="23"/>
  <c r="N219" i="23"/>
  <c r="O219" i="23"/>
  <c r="P219" i="23"/>
  <c r="Q219" i="23"/>
  <c r="S219" i="23"/>
  <c r="T219" i="23"/>
  <c r="U219" i="23"/>
  <c r="V219" i="23"/>
  <c r="X219" i="23"/>
  <c r="Y219" i="23"/>
  <c r="Z219" i="23"/>
  <c r="AA219" i="23"/>
  <c r="AB219" i="23"/>
  <c r="AC219" i="23"/>
  <c r="AD219" i="23"/>
  <c r="AE219" i="23"/>
  <c r="AF219" i="23"/>
  <c r="AG219" i="23"/>
  <c r="AI219" i="23"/>
  <c r="AJ219" i="23"/>
  <c r="AK219" i="23"/>
  <c r="AL219" i="23"/>
  <c r="AM219" i="23"/>
  <c r="AN219" i="23"/>
  <c r="AO219" i="23"/>
  <c r="AP219" i="23"/>
  <c r="AQ219" i="23"/>
  <c r="AR219" i="23"/>
  <c r="AS219" i="23"/>
  <c r="AT219" i="23"/>
  <c r="AU219" i="23"/>
  <c r="AV219" i="23"/>
  <c r="AW219" i="23"/>
  <c r="AX219" i="23"/>
  <c r="AZ219" i="23"/>
  <c r="BA219" i="23"/>
  <c r="BC219" i="23"/>
  <c r="BD219" i="23"/>
  <c r="BE219" i="23"/>
  <c r="BF219" i="23"/>
  <c r="BG219" i="23"/>
  <c r="BH219" i="23"/>
  <c r="BI219" i="23"/>
  <c r="BJ219" i="23"/>
  <c r="BL219" i="23"/>
  <c r="BM219" i="23"/>
  <c r="BN219" i="23"/>
  <c r="BO219" i="23"/>
  <c r="BP219" i="23"/>
  <c r="BQ219" i="23"/>
  <c r="BR219" i="23"/>
  <c r="BS219" i="23"/>
  <c r="BT219" i="23"/>
  <c r="BU219" i="23"/>
  <c r="BV219" i="23"/>
  <c r="BW219" i="23"/>
  <c r="BX219" i="23"/>
  <c r="BY219" i="23"/>
  <c r="BZ219" i="23"/>
  <c r="CA219" i="23"/>
  <c r="CB219" i="23"/>
  <c r="CC219" i="23"/>
  <c r="CD219" i="23"/>
  <c r="CE219" i="23"/>
  <c r="CF219" i="23"/>
  <c r="CG219" i="23"/>
  <c r="CH219" i="23"/>
  <c r="CI219" i="23"/>
  <c r="CJ219" i="23"/>
  <c r="CK219" i="23"/>
  <c r="CL219" i="23"/>
  <c r="CM219" i="23"/>
  <c r="CN219" i="23"/>
  <c r="CO219" i="23"/>
  <c r="CQ219" i="23"/>
  <c r="CR219" i="23"/>
  <c r="CS219" i="23"/>
  <c r="CU219" i="23"/>
  <c r="CV219" i="23"/>
  <c r="CW219" i="23"/>
  <c r="CZ219" i="23"/>
  <c r="DA219" i="23"/>
  <c r="DB219" i="23"/>
  <c r="DD219" i="23"/>
  <c r="DE219" i="23"/>
  <c r="DF219" i="23"/>
  <c r="DG219" i="23"/>
  <c r="DH219" i="23"/>
  <c r="DI219" i="23"/>
  <c r="DJ219" i="23"/>
  <c r="DL219" i="23"/>
  <c r="DM219" i="23"/>
  <c r="DN219" i="23"/>
  <c r="DO219" i="23"/>
  <c r="DP219" i="23"/>
  <c r="DQ219" i="23"/>
  <c r="DT219" i="23"/>
  <c r="DU219" i="23"/>
  <c r="DV219" i="23"/>
  <c r="DW219" i="23"/>
  <c r="DX219" i="23"/>
  <c r="DY219" i="23"/>
  <c r="DZ219" i="23"/>
  <c r="EA219" i="23"/>
  <c r="EB219" i="23"/>
  <c r="EC219" i="23"/>
  <c r="ED219" i="23"/>
  <c r="EF219" i="23"/>
  <c r="EG219" i="23"/>
  <c r="EH219" i="23"/>
  <c r="EI219" i="23"/>
  <c r="D220" i="23"/>
  <c r="E220" i="23"/>
  <c r="G220" i="23"/>
  <c r="H220" i="23"/>
  <c r="I220" i="23"/>
  <c r="K220" i="23"/>
  <c r="L220" i="23"/>
  <c r="M220" i="23"/>
  <c r="N220" i="23"/>
  <c r="O220" i="23"/>
  <c r="P220" i="23"/>
  <c r="Q220" i="23"/>
  <c r="S220" i="23"/>
  <c r="T220" i="23"/>
  <c r="U220" i="23"/>
  <c r="V220" i="23"/>
  <c r="X220" i="23"/>
  <c r="Y220" i="23"/>
  <c r="Z220" i="23"/>
  <c r="AA220" i="23"/>
  <c r="AB220" i="23"/>
  <c r="AC220" i="23"/>
  <c r="AD220" i="23"/>
  <c r="AE220" i="23"/>
  <c r="AF220" i="23"/>
  <c r="AG220" i="23"/>
  <c r="AI220" i="23"/>
  <c r="AJ220" i="23"/>
  <c r="AK220" i="23"/>
  <c r="AL220" i="23"/>
  <c r="AM220" i="23"/>
  <c r="AN220" i="23"/>
  <c r="AO220" i="23"/>
  <c r="AP220" i="23"/>
  <c r="AQ220" i="23"/>
  <c r="AR220" i="23"/>
  <c r="AS220" i="23"/>
  <c r="AT220" i="23"/>
  <c r="AU220" i="23"/>
  <c r="AV220" i="23"/>
  <c r="AW220" i="23"/>
  <c r="AX220" i="23"/>
  <c r="AZ220" i="23"/>
  <c r="BA220" i="23"/>
  <c r="BC220" i="23"/>
  <c r="BD220" i="23"/>
  <c r="BE220" i="23"/>
  <c r="BF220" i="23"/>
  <c r="BH220" i="23"/>
  <c r="BI220" i="23"/>
  <c r="BJ220" i="23"/>
  <c r="BL220" i="23"/>
  <c r="BM220" i="23"/>
  <c r="BN220" i="23"/>
  <c r="BO220" i="23"/>
  <c r="BP220" i="23"/>
  <c r="BQ220" i="23"/>
  <c r="BR220" i="23"/>
  <c r="BS220" i="23"/>
  <c r="BT220" i="23"/>
  <c r="BU220" i="23"/>
  <c r="BV220" i="23"/>
  <c r="BW220" i="23"/>
  <c r="BX220" i="23"/>
  <c r="BY220" i="23"/>
  <c r="BZ220" i="23"/>
  <c r="CB220" i="23"/>
  <c r="CC220" i="23"/>
  <c r="CD220" i="23"/>
  <c r="CE220" i="23"/>
  <c r="CF220" i="23"/>
  <c r="CG220" i="23"/>
  <c r="CH220" i="23"/>
  <c r="CI220" i="23"/>
  <c r="CJ220" i="23"/>
  <c r="CK220" i="23"/>
  <c r="CM220" i="23"/>
  <c r="CN220" i="23"/>
  <c r="CO220" i="23"/>
  <c r="CQ220" i="23"/>
  <c r="CR220" i="23"/>
  <c r="CS220" i="23"/>
  <c r="CT220" i="23"/>
  <c r="CU220" i="23"/>
  <c r="CV220" i="23"/>
  <c r="CW220" i="23"/>
  <c r="CY220" i="23"/>
  <c r="CZ220" i="23"/>
  <c r="DA220" i="23"/>
  <c r="DB220" i="23"/>
  <c r="DC220" i="23"/>
  <c r="DD220" i="23"/>
  <c r="DE220" i="23"/>
  <c r="DF220" i="23"/>
  <c r="DG220" i="23"/>
  <c r="DH220" i="23"/>
  <c r="DI220" i="23"/>
  <c r="DJ220" i="23"/>
  <c r="DK220" i="23"/>
  <c r="DL220" i="23"/>
  <c r="DM220" i="23"/>
  <c r="DN220" i="23"/>
  <c r="DO220" i="23"/>
  <c r="DP220" i="23"/>
  <c r="DQ220" i="23"/>
  <c r="DR220" i="23"/>
  <c r="DS220" i="23"/>
  <c r="DT220" i="23"/>
  <c r="DU220" i="23"/>
  <c r="DV220" i="23"/>
  <c r="DW220" i="23"/>
  <c r="DX220" i="23"/>
  <c r="DY220" i="23"/>
  <c r="DZ220" i="23"/>
  <c r="EA220" i="23"/>
  <c r="EB220" i="23"/>
  <c r="EC220" i="23"/>
  <c r="ED220" i="23"/>
  <c r="EE220" i="23"/>
  <c r="EF220" i="23"/>
  <c r="EG220" i="23"/>
  <c r="EH220" i="23"/>
  <c r="EI220" i="23"/>
  <c r="D221" i="23"/>
  <c r="E221" i="23"/>
  <c r="F221" i="23"/>
  <c r="G221" i="23"/>
  <c r="H221" i="23"/>
  <c r="I221" i="23"/>
  <c r="J221" i="23"/>
  <c r="L221" i="23"/>
  <c r="M221" i="23"/>
  <c r="N221" i="23"/>
  <c r="O221" i="23"/>
  <c r="P221" i="23"/>
  <c r="Q221" i="23"/>
  <c r="R221" i="23"/>
  <c r="S221" i="23"/>
  <c r="T221" i="23"/>
  <c r="U221" i="23"/>
  <c r="W221" i="23"/>
  <c r="X221" i="23"/>
  <c r="Y221" i="23"/>
  <c r="Z221" i="23"/>
  <c r="AA221" i="23"/>
  <c r="AB221" i="23"/>
  <c r="AC221" i="23"/>
  <c r="AD221" i="23"/>
  <c r="AF221" i="23"/>
  <c r="AG221" i="23"/>
  <c r="AI221" i="23"/>
  <c r="AJ221" i="23"/>
  <c r="AK221" i="23"/>
  <c r="AL221" i="23"/>
  <c r="AM221" i="23"/>
  <c r="AN221" i="23"/>
  <c r="AO221" i="23"/>
  <c r="AR221" i="23"/>
  <c r="AS221" i="23"/>
  <c r="AT221" i="23"/>
  <c r="AV221" i="23"/>
  <c r="AW221" i="23"/>
  <c r="AX221" i="23"/>
  <c r="AZ221" i="23"/>
  <c r="BA221" i="23"/>
  <c r="BC221" i="23"/>
  <c r="BD221" i="23"/>
  <c r="BE221" i="23"/>
  <c r="BF221" i="23"/>
  <c r="BG221" i="23"/>
  <c r="BH221" i="23"/>
  <c r="BI221" i="23"/>
  <c r="BK221" i="23"/>
  <c r="BL221" i="23"/>
  <c r="BM221" i="23"/>
  <c r="BN221" i="23"/>
  <c r="BO221" i="23"/>
  <c r="BP221" i="23"/>
  <c r="BQ221" i="23"/>
  <c r="BR221" i="23"/>
  <c r="BS221" i="23"/>
  <c r="BT221" i="23"/>
  <c r="BU221" i="23"/>
  <c r="BV221" i="23"/>
  <c r="BW221" i="23"/>
  <c r="BX221" i="23"/>
  <c r="BY221" i="23"/>
  <c r="CB221" i="23"/>
  <c r="CC221" i="23"/>
  <c r="CD221" i="23"/>
  <c r="CE221" i="23"/>
  <c r="CF221" i="23"/>
  <c r="CG221" i="23"/>
  <c r="CI221" i="23"/>
  <c r="CJ221" i="23"/>
  <c r="CK221" i="23"/>
  <c r="CM221" i="23"/>
  <c r="CN221" i="23"/>
  <c r="CO221" i="23"/>
  <c r="CP221" i="23"/>
  <c r="CQ221" i="23"/>
  <c r="CR221" i="23"/>
  <c r="CS221" i="23"/>
  <c r="CT221" i="23"/>
  <c r="CU221" i="23"/>
  <c r="CV221" i="23"/>
  <c r="CW221" i="23"/>
  <c r="CY221" i="23"/>
  <c r="CZ221" i="23"/>
  <c r="DA221" i="23"/>
  <c r="DD221" i="23"/>
  <c r="DE221" i="23"/>
  <c r="DF221" i="23"/>
  <c r="DG221" i="23"/>
  <c r="DH221" i="23"/>
  <c r="DI221" i="23"/>
  <c r="DJ221" i="23"/>
  <c r="DL221" i="23"/>
  <c r="DM221" i="23"/>
  <c r="DN221" i="23"/>
  <c r="DP221" i="23"/>
  <c r="DQ221" i="23"/>
  <c r="DS221" i="23"/>
  <c r="DT221" i="23"/>
  <c r="DU221" i="23"/>
  <c r="DV221" i="23"/>
  <c r="DW221" i="23"/>
  <c r="DX221" i="23"/>
  <c r="DY221" i="23"/>
  <c r="DZ221" i="23"/>
  <c r="EA221" i="23"/>
  <c r="EB221" i="23"/>
  <c r="EC221" i="23"/>
  <c r="ED221" i="23"/>
  <c r="EF221" i="23"/>
  <c r="EG221" i="23"/>
  <c r="EH221" i="23"/>
  <c r="EI221" i="23"/>
  <c r="C222" i="23"/>
  <c r="D222" i="23"/>
  <c r="E222" i="23"/>
  <c r="F222" i="23"/>
  <c r="G222" i="23"/>
  <c r="H222" i="23"/>
  <c r="I222" i="23"/>
  <c r="J222" i="23"/>
  <c r="K222" i="23"/>
  <c r="L222" i="23"/>
  <c r="M222" i="23"/>
  <c r="N222" i="23"/>
  <c r="P222" i="23"/>
  <c r="Q222" i="23"/>
  <c r="R222" i="23"/>
  <c r="S222" i="23"/>
  <c r="T222" i="23"/>
  <c r="U222" i="23"/>
  <c r="W222" i="23"/>
  <c r="X222" i="23"/>
  <c r="Y222" i="23"/>
  <c r="Z222" i="23"/>
  <c r="AA222" i="23"/>
  <c r="AB222" i="23"/>
  <c r="AC222" i="23"/>
  <c r="AD222" i="23"/>
  <c r="AF222" i="23"/>
  <c r="AG222" i="23"/>
  <c r="AI222" i="23"/>
  <c r="AJ222" i="23"/>
  <c r="AK222" i="23"/>
  <c r="AL222" i="23"/>
  <c r="AM222" i="23"/>
  <c r="AN222" i="23"/>
  <c r="AO222" i="23"/>
  <c r="AP222" i="23"/>
  <c r="AQ222" i="23"/>
  <c r="AR222" i="23"/>
  <c r="AS222" i="23"/>
  <c r="AU222" i="23"/>
  <c r="AV222" i="23"/>
  <c r="AW222" i="23"/>
  <c r="AX222" i="23"/>
  <c r="AZ222" i="23"/>
  <c r="BA222" i="23"/>
  <c r="BD222" i="23"/>
  <c r="BE222" i="23"/>
  <c r="BF222" i="23"/>
  <c r="BH222" i="23"/>
  <c r="BI222" i="23"/>
  <c r="BK222" i="23"/>
  <c r="BL222" i="23"/>
  <c r="BM222" i="23"/>
  <c r="BN222" i="23"/>
  <c r="BO222" i="23"/>
  <c r="BP222" i="23"/>
  <c r="BQ222" i="23"/>
  <c r="BR222" i="23"/>
  <c r="BT222" i="23"/>
  <c r="BU222" i="23"/>
  <c r="BV222" i="23"/>
  <c r="BW222" i="23"/>
  <c r="BX222" i="23"/>
  <c r="BY222" i="23"/>
  <c r="CA222" i="23"/>
  <c r="CB222" i="23"/>
  <c r="CC222" i="23"/>
  <c r="CD222" i="23"/>
  <c r="CE222" i="23"/>
  <c r="CF222" i="23"/>
  <c r="CG222" i="23"/>
  <c r="CH222" i="23"/>
  <c r="CI222" i="23"/>
  <c r="CJ222" i="23"/>
  <c r="CK222" i="23"/>
  <c r="CN222" i="23"/>
  <c r="CO222" i="23"/>
  <c r="CR222" i="23"/>
  <c r="CS222" i="23"/>
  <c r="CT222" i="23"/>
  <c r="CU222" i="23"/>
  <c r="CV222" i="23"/>
  <c r="CW222" i="23"/>
  <c r="CX222" i="23"/>
  <c r="CY222" i="23"/>
  <c r="CZ222" i="23"/>
  <c r="DA222" i="23"/>
  <c r="DB222" i="23"/>
  <c r="DD222" i="23"/>
  <c r="DE222" i="23"/>
  <c r="DF222" i="23"/>
  <c r="DG222" i="23"/>
  <c r="DH222" i="23"/>
  <c r="DI222" i="23"/>
  <c r="DJ222" i="23"/>
  <c r="DL222" i="23"/>
  <c r="DM222" i="23"/>
  <c r="DN222" i="23"/>
  <c r="DP222" i="23"/>
  <c r="DQ222" i="23"/>
  <c r="DR222" i="23"/>
  <c r="DS222" i="23"/>
  <c r="DS236" i="23" s="1"/>
  <c r="DT222" i="23"/>
  <c r="DU222" i="23"/>
  <c r="DW222" i="23"/>
  <c r="DX222" i="23"/>
  <c r="DY222" i="23"/>
  <c r="DZ222" i="23"/>
  <c r="EB222" i="23"/>
  <c r="EC222" i="23"/>
  <c r="EF222" i="23"/>
  <c r="EG222" i="23"/>
  <c r="C223" i="23"/>
  <c r="D223" i="23"/>
  <c r="E223" i="23"/>
  <c r="F223" i="23"/>
  <c r="H223" i="23"/>
  <c r="I223" i="23"/>
  <c r="J223" i="23"/>
  <c r="K223" i="23"/>
  <c r="L223" i="23"/>
  <c r="M223" i="23"/>
  <c r="N223" i="23"/>
  <c r="O223" i="23"/>
  <c r="P223" i="23"/>
  <c r="Q223" i="23"/>
  <c r="R223" i="23"/>
  <c r="S223" i="23"/>
  <c r="T223" i="23"/>
  <c r="U223" i="23"/>
  <c r="V223" i="23"/>
  <c r="W223" i="23"/>
  <c r="X223" i="23"/>
  <c r="Y223" i="23"/>
  <c r="Z223" i="23"/>
  <c r="AA223" i="23"/>
  <c r="AB223" i="23"/>
  <c r="AC223" i="23"/>
  <c r="AD223" i="23"/>
  <c r="AE223" i="23"/>
  <c r="AF223" i="23"/>
  <c r="AG223" i="23"/>
  <c r="AH223" i="23"/>
  <c r="AI223" i="23"/>
  <c r="AJ223" i="23"/>
  <c r="AK223" i="23"/>
  <c r="AL223" i="23"/>
  <c r="AM223" i="23"/>
  <c r="AN223" i="23"/>
  <c r="AO223" i="23"/>
  <c r="AP223" i="23"/>
  <c r="AQ223" i="23"/>
  <c r="AR223" i="23"/>
  <c r="AS223" i="23"/>
  <c r="AU223" i="23"/>
  <c r="AV223" i="23"/>
  <c r="AW223" i="23"/>
  <c r="AZ223" i="23"/>
  <c r="BA223" i="23"/>
  <c r="BD223" i="23"/>
  <c r="BE223" i="23"/>
  <c r="BF223" i="23"/>
  <c r="BH223" i="23"/>
  <c r="BI223" i="23"/>
  <c r="BJ223" i="23"/>
  <c r="BK223" i="23"/>
  <c r="BL223" i="23"/>
  <c r="BM223" i="23"/>
  <c r="BN223" i="23"/>
  <c r="BO223" i="23"/>
  <c r="BP223" i="23"/>
  <c r="BQ223" i="23"/>
  <c r="BR223" i="23"/>
  <c r="BS223" i="23"/>
  <c r="BT223" i="23"/>
  <c r="BU223" i="23"/>
  <c r="BV223" i="23"/>
  <c r="BW223" i="23"/>
  <c r="BX223" i="23"/>
  <c r="BY223" i="23"/>
  <c r="CA223" i="23"/>
  <c r="CB223" i="23"/>
  <c r="CC223" i="23"/>
  <c r="CD223" i="23"/>
  <c r="CE223" i="23"/>
  <c r="CF223" i="23"/>
  <c r="CG223" i="23"/>
  <c r="CH223" i="23"/>
  <c r="CI223" i="23"/>
  <c r="CJ223" i="23"/>
  <c r="CK223" i="23"/>
  <c r="CM223" i="23"/>
  <c r="CN223" i="23"/>
  <c r="CO223" i="23"/>
  <c r="CP223" i="23"/>
  <c r="CQ223" i="23"/>
  <c r="CR223" i="23"/>
  <c r="CS223" i="23"/>
  <c r="CT223" i="23"/>
  <c r="CU223" i="23"/>
  <c r="CV223" i="23"/>
  <c r="CW223" i="23"/>
  <c r="CX223" i="23"/>
  <c r="CY223" i="23"/>
  <c r="CZ223" i="23"/>
  <c r="DA223" i="23"/>
  <c r="DD223" i="23"/>
  <c r="DE223" i="23"/>
  <c r="DF223" i="23"/>
  <c r="DH223" i="23"/>
  <c r="DI223" i="23"/>
  <c r="DJ223" i="23"/>
  <c r="DL223" i="23"/>
  <c r="DM223" i="23"/>
  <c r="DO223" i="23"/>
  <c r="DP223" i="23"/>
  <c r="DQ223" i="23"/>
  <c r="DR223" i="23"/>
  <c r="DS223" i="23"/>
  <c r="DT223" i="23"/>
  <c r="DU223" i="23"/>
  <c r="DV223" i="23"/>
  <c r="DW223" i="23"/>
  <c r="DX223" i="23"/>
  <c r="DY223" i="23"/>
  <c r="DZ223" i="23"/>
  <c r="EA223" i="23"/>
  <c r="EB223" i="23"/>
  <c r="EC223" i="23"/>
  <c r="EF223" i="23"/>
  <c r="EG223" i="23"/>
  <c r="EH223" i="23"/>
  <c r="C224" i="23"/>
  <c r="D224" i="23"/>
  <c r="E224" i="23"/>
  <c r="F224" i="23"/>
  <c r="H224" i="23"/>
  <c r="I224" i="23"/>
  <c r="J224" i="23"/>
  <c r="K224" i="23"/>
  <c r="L224" i="23"/>
  <c r="M224" i="23"/>
  <c r="O224" i="23"/>
  <c r="P224" i="23"/>
  <c r="Q224" i="23"/>
  <c r="R224" i="23"/>
  <c r="S224" i="23"/>
  <c r="T224" i="23"/>
  <c r="U224" i="23"/>
  <c r="V224" i="23"/>
  <c r="X224" i="23"/>
  <c r="Y224" i="23"/>
  <c r="Z224" i="23"/>
  <c r="AA224" i="23"/>
  <c r="AB224" i="23"/>
  <c r="AC224" i="23"/>
  <c r="AD224" i="23"/>
  <c r="AE224" i="23"/>
  <c r="AF224" i="23"/>
  <c r="AG224" i="23"/>
  <c r="AI224" i="23"/>
  <c r="AJ224" i="23"/>
  <c r="AK224" i="23"/>
  <c r="AL224" i="23"/>
  <c r="AM224" i="23"/>
  <c r="AN224" i="23"/>
  <c r="AO224" i="23"/>
  <c r="AP224" i="23"/>
  <c r="AQ224" i="23"/>
  <c r="AR224" i="23"/>
  <c r="AS224" i="23"/>
  <c r="AU224" i="23"/>
  <c r="AV224" i="23"/>
  <c r="AW224" i="23"/>
  <c r="AZ224" i="23"/>
  <c r="BA224" i="23"/>
  <c r="BD224" i="23"/>
  <c r="BE224" i="23"/>
  <c r="BF224" i="23"/>
  <c r="BH224" i="23"/>
  <c r="BI224" i="23"/>
  <c r="BJ224" i="23"/>
  <c r="BK224" i="23"/>
  <c r="BL224" i="23"/>
  <c r="BM224" i="23"/>
  <c r="BN224" i="23"/>
  <c r="BO224" i="23"/>
  <c r="BP224" i="23"/>
  <c r="BQ224" i="23"/>
  <c r="BR224" i="23"/>
  <c r="BS224" i="23"/>
  <c r="BT224" i="23"/>
  <c r="BU224" i="23"/>
  <c r="BV224" i="23"/>
  <c r="BW224" i="23"/>
  <c r="BX224" i="23"/>
  <c r="BY224" i="23"/>
  <c r="BZ224" i="23"/>
  <c r="CA224" i="23"/>
  <c r="CB224" i="23"/>
  <c r="CC224" i="23"/>
  <c r="CD224" i="23"/>
  <c r="CE224" i="23"/>
  <c r="CF224" i="23"/>
  <c r="CG224" i="23"/>
  <c r="CH224" i="23"/>
  <c r="CI224" i="23"/>
  <c r="CJ224" i="23"/>
  <c r="CK224" i="23"/>
  <c r="CL224" i="23"/>
  <c r="CN224" i="23"/>
  <c r="CO224" i="23"/>
  <c r="CQ224" i="23"/>
  <c r="CR224" i="23"/>
  <c r="CS224" i="23"/>
  <c r="CT224" i="23"/>
  <c r="CU224" i="23"/>
  <c r="CV224" i="23"/>
  <c r="CW224" i="23"/>
  <c r="CX224" i="23"/>
  <c r="CY224" i="23"/>
  <c r="CZ224" i="23"/>
  <c r="DA224" i="23"/>
  <c r="DD224" i="23"/>
  <c r="DE224" i="23"/>
  <c r="DF224" i="23"/>
  <c r="DH224" i="23"/>
  <c r="DI224" i="23"/>
  <c r="DJ224" i="23"/>
  <c r="DL224" i="23"/>
  <c r="DM224" i="23"/>
  <c r="DN224" i="23"/>
  <c r="DO224" i="23"/>
  <c r="DP224" i="23"/>
  <c r="DQ224" i="23"/>
  <c r="DR224" i="23"/>
  <c r="DS224" i="23"/>
  <c r="DT224" i="23"/>
  <c r="DU224" i="23"/>
  <c r="DV224" i="23"/>
  <c r="DW224" i="23"/>
  <c r="DX224" i="23"/>
  <c r="DY224" i="23"/>
  <c r="DZ224" i="23"/>
  <c r="EA224" i="23"/>
  <c r="EB224" i="23"/>
  <c r="EC224" i="23"/>
  <c r="ED224" i="23"/>
  <c r="EF224" i="23"/>
  <c r="EG224" i="23"/>
  <c r="C225" i="23"/>
  <c r="D225" i="23"/>
  <c r="E225" i="23"/>
  <c r="F225" i="23"/>
  <c r="H225" i="23"/>
  <c r="I225" i="23"/>
  <c r="J225" i="23"/>
  <c r="K225" i="23"/>
  <c r="L225" i="23"/>
  <c r="M225" i="23"/>
  <c r="O225" i="23"/>
  <c r="P225" i="23"/>
  <c r="Q225" i="23"/>
  <c r="R225" i="23"/>
  <c r="S225" i="23"/>
  <c r="T225" i="23"/>
  <c r="U225" i="23"/>
  <c r="V225" i="23"/>
  <c r="W225" i="23"/>
  <c r="X225" i="23"/>
  <c r="X236" i="23" s="1"/>
  <c r="Y225" i="23"/>
  <c r="AA225" i="23"/>
  <c r="AB225" i="23"/>
  <c r="AC225" i="23"/>
  <c r="AD225" i="23"/>
  <c r="AE225" i="23"/>
  <c r="AF225" i="23"/>
  <c r="AG225" i="23"/>
  <c r="AH225" i="23"/>
  <c r="AI225" i="23"/>
  <c r="AJ225" i="23"/>
  <c r="AK225" i="23"/>
  <c r="AM225" i="23"/>
  <c r="AN225" i="23"/>
  <c r="AO225" i="23"/>
  <c r="AQ225" i="23"/>
  <c r="AR225" i="23"/>
  <c r="AS225" i="23"/>
  <c r="AT225" i="23"/>
  <c r="AV225" i="23"/>
  <c r="AW225" i="23"/>
  <c r="AX225" i="23"/>
  <c r="AZ225" i="23"/>
  <c r="BA225" i="23"/>
  <c r="BD225" i="23"/>
  <c r="BE225" i="23"/>
  <c r="BF225" i="23"/>
  <c r="BH225" i="23"/>
  <c r="BI225" i="23"/>
  <c r="BJ225" i="23"/>
  <c r="BK225" i="23"/>
  <c r="BL225" i="23"/>
  <c r="BM225" i="23"/>
  <c r="BN225" i="23"/>
  <c r="BO225" i="23"/>
  <c r="BP225" i="23"/>
  <c r="BQ225" i="23"/>
  <c r="BS225" i="23"/>
  <c r="BT225" i="23"/>
  <c r="BU225" i="23"/>
  <c r="BW225" i="23"/>
  <c r="BX225" i="23"/>
  <c r="BY225" i="23"/>
  <c r="BZ225" i="23"/>
  <c r="CA225" i="23"/>
  <c r="CB225" i="23"/>
  <c r="CC225" i="23"/>
  <c r="CE225" i="23"/>
  <c r="CF225" i="23"/>
  <c r="CG225" i="23"/>
  <c r="CH225" i="23"/>
  <c r="CI225" i="23"/>
  <c r="CJ225" i="23"/>
  <c r="CK225" i="23"/>
  <c r="CL225" i="23"/>
  <c r="CM225" i="23"/>
  <c r="CN225" i="23"/>
  <c r="CO225" i="23"/>
  <c r="CQ225" i="23"/>
  <c r="CR225" i="23"/>
  <c r="CS225" i="23"/>
  <c r="CT225" i="23"/>
  <c r="CU225" i="23"/>
  <c r="CV225" i="23"/>
  <c r="CW225" i="23"/>
  <c r="CY225" i="23"/>
  <c r="CZ225" i="23"/>
  <c r="DA225" i="23"/>
  <c r="DD225" i="23"/>
  <c r="DE225" i="23"/>
  <c r="DH225" i="23"/>
  <c r="DI225" i="23"/>
  <c r="DL225" i="23"/>
  <c r="DM225" i="23"/>
  <c r="DN225" i="23"/>
  <c r="DO225" i="23"/>
  <c r="DP225" i="23"/>
  <c r="DQ225" i="23"/>
  <c r="DR225" i="23"/>
  <c r="DS225" i="23"/>
  <c r="DT225" i="23"/>
  <c r="DU225" i="23"/>
  <c r="DV225" i="23"/>
  <c r="DW225" i="23"/>
  <c r="DX225" i="23"/>
  <c r="DY225" i="23"/>
  <c r="DZ225" i="23"/>
  <c r="EA225" i="23"/>
  <c r="EB225" i="23"/>
  <c r="EC225" i="23"/>
  <c r="ED225" i="23"/>
  <c r="EF225" i="23"/>
  <c r="EG225" i="23"/>
  <c r="EH225" i="23"/>
  <c r="C226" i="23"/>
  <c r="D226" i="23"/>
  <c r="E226" i="23"/>
  <c r="F226" i="23"/>
  <c r="G226" i="23"/>
  <c r="H226" i="23"/>
  <c r="I226" i="23"/>
  <c r="J226" i="23"/>
  <c r="K226" i="23"/>
  <c r="L226" i="23"/>
  <c r="M226" i="23"/>
  <c r="O226" i="23"/>
  <c r="P226" i="23"/>
  <c r="Q226" i="23"/>
  <c r="R226" i="23"/>
  <c r="S226" i="23"/>
  <c r="T226" i="23"/>
  <c r="U226" i="23"/>
  <c r="V226" i="23"/>
  <c r="W226" i="23"/>
  <c r="X226" i="23"/>
  <c r="Y226" i="23"/>
  <c r="AA226" i="23"/>
  <c r="AB226" i="23"/>
  <c r="AC226" i="23"/>
  <c r="AD226" i="23"/>
  <c r="AE226" i="23"/>
  <c r="AF226" i="23"/>
  <c r="AG226" i="23"/>
  <c r="AI226" i="23"/>
  <c r="AJ226" i="23"/>
  <c r="AK226" i="23"/>
  <c r="AM226" i="23"/>
  <c r="AN226" i="23"/>
  <c r="AO226" i="23"/>
  <c r="AP226" i="23"/>
  <c r="AQ226" i="23"/>
  <c r="AR226" i="23"/>
  <c r="AS226" i="23"/>
  <c r="AT226" i="23"/>
  <c r="AV226" i="23"/>
  <c r="AW226" i="23"/>
  <c r="AX226" i="23"/>
  <c r="AZ226" i="23"/>
  <c r="BA226" i="23"/>
  <c r="BD226" i="23"/>
  <c r="BE226" i="23"/>
  <c r="BH226" i="23"/>
  <c r="BI226" i="23"/>
  <c r="BJ226" i="23"/>
  <c r="BK226" i="23"/>
  <c r="BL226" i="23"/>
  <c r="BM226" i="23"/>
  <c r="BN226" i="23"/>
  <c r="BO226" i="23"/>
  <c r="BP226" i="23"/>
  <c r="BQ226" i="23"/>
  <c r="BR226" i="23"/>
  <c r="BS226" i="23"/>
  <c r="BT226" i="23"/>
  <c r="BU226" i="23"/>
  <c r="BW226" i="23"/>
  <c r="BX226" i="23"/>
  <c r="BY226" i="23"/>
  <c r="BZ226" i="23"/>
  <c r="CA226" i="23"/>
  <c r="CB226" i="23"/>
  <c r="CC226" i="23"/>
  <c r="CE226" i="23"/>
  <c r="CF226" i="23"/>
  <c r="CG226" i="23"/>
  <c r="CH226" i="23"/>
  <c r="CJ226" i="23"/>
  <c r="CK226" i="23"/>
  <c r="CL226" i="23"/>
  <c r="CM226" i="23"/>
  <c r="CN226" i="23"/>
  <c r="CO226" i="23"/>
  <c r="CP226" i="23"/>
  <c r="CQ226" i="23"/>
  <c r="CR226" i="23"/>
  <c r="CS226" i="23"/>
  <c r="CT226" i="23"/>
  <c r="CU226" i="23"/>
  <c r="CV226" i="23"/>
  <c r="CW226" i="23"/>
  <c r="CY226" i="23"/>
  <c r="CZ226" i="23"/>
  <c r="DA226" i="23"/>
  <c r="DD226" i="23"/>
  <c r="DE226" i="23"/>
  <c r="DF226" i="23"/>
  <c r="DH226" i="23"/>
  <c r="DI226" i="23"/>
  <c r="DL226" i="23"/>
  <c r="DM226" i="23"/>
  <c r="DN226" i="23"/>
  <c r="DO226" i="23"/>
  <c r="DP226" i="23"/>
  <c r="DQ226" i="23"/>
  <c r="DR226" i="23"/>
  <c r="DS226" i="23"/>
  <c r="DT226" i="23"/>
  <c r="DU226" i="23"/>
  <c r="DV226" i="23"/>
  <c r="DW226" i="23"/>
  <c r="DX226" i="23"/>
  <c r="DY226" i="23"/>
  <c r="DZ226" i="23"/>
  <c r="EA226" i="23"/>
  <c r="EB226" i="23"/>
  <c r="EC226" i="23"/>
  <c r="ED226" i="23"/>
  <c r="EF226" i="23"/>
  <c r="EG226" i="23"/>
  <c r="EH226" i="23"/>
  <c r="C227" i="23"/>
  <c r="D227" i="23"/>
  <c r="E227" i="23"/>
  <c r="F227" i="23"/>
  <c r="H227" i="23"/>
  <c r="I227" i="23"/>
  <c r="J227" i="23"/>
  <c r="K227" i="23"/>
  <c r="L227" i="23"/>
  <c r="M227" i="23"/>
  <c r="O227" i="23"/>
  <c r="P227" i="23"/>
  <c r="Q227" i="23"/>
  <c r="R227" i="23"/>
  <c r="S227" i="23"/>
  <c r="T227" i="23"/>
  <c r="U227" i="23"/>
  <c r="V227" i="23"/>
  <c r="W227" i="23"/>
  <c r="X227" i="23"/>
  <c r="Y227" i="23"/>
  <c r="AA227" i="23"/>
  <c r="AB227" i="23"/>
  <c r="AC227" i="23"/>
  <c r="AD227" i="23"/>
  <c r="AE227" i="23"/>
  <c r="AF227" i="23"/>
  <c r="AG227" i="23"/>
  <c r="AI227" i="23"/>
  <c r="AJ227" i="23"/>
  <c r="AK227" i="23"/>
  <c r="AM227" i="23"/>
  <c r="AN227" i="23"/>
  <c r="AO227" i="23"/>
  <c r="AQ227" i="23"/>
  <c r="AR227" i="23"/>
  <c r="AS227" i="23"/>
  <c r="AT227" i="23"/>
  <c r="AU227" i="23"/>
  <c r="AV227" i="23"/>
  <c r="AW227" i="23"/>
  <c r="AZ227" i="23"/>
  <c r="BA227" i="23"/>
  <c r="BD227" i="23"/>
  <c r="BE227" i="23"/>
  <c r="BF227" i="23"/>
  <c r="BH227" i="23"/>
  <c r="BI227" i="23"/>
  <c r="BJ227" i="23"/>
  <c r="BK227" i="23"/>
  <c r="BL227" i="23"/>
  <c r="BM227" i="23"/>
  <c r="BN227" i="23"/>
  <c r="BO227" i="23"/>
  <c r="BP227" i="23"/>
  <c r="BQ227" i="23"/>
  <c r="BS227" i="23"/>
  <c r="BT227" i="23"/>
  <c r="BU227" i="23"/>
  <c r="BW227" i="23"/>
  <c r="BX227" i="23"/>
  <c r="BY227" i="23"/>
  <c r="BZ227" i="23"/>
  <c r="CA227" i="23"/>
  <c r="CB227" i="23"/>
  <c r="CC227" i="23"/>
  <c r="CE227" i="23"/>
  <c r="CF227" i="23"/>
  <c r="CG227" i="23"/>
  <c r="CH227" i="23"/>
  <c r="CI227" i="23"/>
  <c r="CJ227" i="23"/>
  <c r="CK227" i="23"/>
  <c r="CL227" i="23"/>
  <c r="CM227" i="23"/>
  <c r="CN227" i="23"/>
  <c r="CO227" i="23"/>
  <c r="CP227" i="23"/>
  <c r="CQ227" i="23"/>
  <c r="CR227" i="23"/>
  <c r="CS227" i="23"/>
  <c r="CT227" i="23"/>
  <c r="CU227" i="23"/>
  <c r="CV227" i="23"/>
  <c r="CW227" i="23"/>
  <c r="CY227" i="23"/>
  <c r="CZ227" i="23"/>
  <c r="DA227" i="23"/>
  <c r="DD227" i="23"/>
  <c r="DE227" i="23"/>
  <c r="DH227" i="23"/>
  <c r="DI227" i="23"/>
  <c r="DL227" i="23"/>
  <c r="DM227" i="23"/>
  <c r="DN227" i="23"/>
  <c r="DO227" i="23"/>
  <c r="DP227" i="23"/>
  <c r="DQ227" i="23"/>
  <c r="DR227" i="23"/>
  <c r="DS227" i="23"/>
  <c r="DT227" i="23"/>
  <c r="DU227" i="23"/>
  <c r="DV227" i="23"/>
  <c r="DW227" i="23"/>
  <c r="DX227" i="23"/>
  <c r="DY227" i="23"/>
  <c r="DZ227" i="23"/>
  <c r="EA227" i="23"/>
  <c r="EB227" i="23"/>
  <c r="EC227" i="23"/>
  <c r="ED227" i="23"/>
  <c r="EF227" i="23"/>
  <c r="EG227" i="23"/>
  <c r="C228" i="23"/>
  <c r="D228" i="23"/>
  <c r="E228" i="23"/>
  <c r="F228" i="23"/>
  <c r="H228" i="23"/>
  <c r="I228" i="23"/>
  <c r="J228" i="23"/>
  <c r="K228" i="23"/>
  <c r="L228" i="23"/>
  <c r="M228" i="23"/>
  <c r="N228" i="23"/>
  <c r="O228" i="23"/>
  <c r="P228" i="23"/>
  <c r="Q228" i="23"/>
  <c r="R228" i="23"/>
  <c r="T228" i="23"/>
  <c r="U228" i="23"/>
  <c r="V228" i="23"/>
  <c r="W228" i="23"/>
  <c r="X228" i="23"/>
  <c r="Y228" i="23"/>
  <c r="AB228" i="23"/>
  <c r="AC228" i="23"/>
  <c r="AD228" i="23"/>
  <c r="AE228" i="23"/>
  <c r="AF228" i="23"/>
  <c r="AG228" i="23"/>
  <c r="AI228" i="23"/>
  <c r="AJ228" i="23"/>
  <c r="AK228" i="23"/>
  <c r="AL228" i="23"/>
  <c r="AN228" i="23"/>
  <c r="AO228" i="23"/>
  <c r="AP228" i="23"/>
  <c r="AQ228" i="23"/>
  <c r="AR228" i="23"/>
  <c r="AS228" i="23"/>
  <c r="AT228" i="23"/>
  <c r="AV228" i="23"/>
  <c r="AW228" i="23"/>
  <c r="AX228" i="23"/>
  <c r="AZ228" i="23"/>
  <c r="BA228" i="23"/>
  <c r="BD228" i="23"/>
  <c r="BE228" i="23"/>
  <c r="BF228" i="23"/>
  <c r="BG228" i="23"/>
  <c r="BH228" i="23"/>
  <c r="BI228" i="23"/>
  <c r="BJ228" i="23"/>
  <c r="BK228" i="23"/>
  <c r="BL228" i="23"/>
  <c r="BM228" i="23"/>
  <c r="BO228" i="23"/>
  <c r="BP228" i="23"/>
  <c r="BQ228" i="23"/>
  <c r="BR228" i="23"/>
  <c r="BS228" i="23"/>
  <c r="BT228" i="23"/>
  <c r="BU228" i="23"/>
  <c r="BV228" i="23"/>
  <c r="BW228" i="23"/>
  <c r="BX228" i="23"/>
  <c r="BY228" i="23"/>
  <c r="BZ228" i="23"/>
  <c r="CA228" i="23"/>
  <c r="CB228" i="23"/>
  <c r="CC228" i="23"/>
  <c r="CD228" i="23"/>
  <c r="CE228" i="23"/>
  <c r="CF228" i="23"/>
  <c r="CG228" i="23"/>
  <c r="CH228" i="23"/>
  <c r="CI228" i="23"/>
  <c r="CJ228" i="23"/>
  <c r="CK228" i="23"/>
  <c r="CL228" i="23"/>
  <c r="CM228" i="23"/>
  <c r="CN228" i="23"/>
  <c r="CO228" i="23"/>
  <c r="CP228" i="23"/>
  <c r="CQ228" i="23"/>
  <c r="CR228" i="23"/>
  <c r="CS228" i="23"/>
  <c r="CT228" i="23"/>
  <c r="CU228" i="23"/>
  <c r="CV228" i="23"/>
  <c r="CW228" i="23"/>
  <c r="CY228" i="23"/>
  <c r="CZ228" i="23"/>
  <c r="DA228" i="23"/>
  <c r="DD228" i="23"/>
  <c r="DE228" i="23"/>
  <c r="DF228" i="23"/>
  <c r="DG228" i="23"/>
  <c r="DH228" i="23"/>
  <c r="DI228" i="23"/>
  <c r="DJ228" i="23"/>
  <c r="DL228" i="23"/>
  <c r="DM228" i="23"/>
  <c r="DN228" i="23"/>
  <c r="DO228" i="23"/>
  <c r="DP228" i="23"/>
  <c r="DQ228" i="23"/>
  <c r="DR228" i="23"/>
  <c r="DS228" i="23"/>
  <c r="DT228" i="23"/>
  <c r="DU228" i="23"/>
  <c r="DV228" i="23"/>
  <c r="DW228" i="23"/>
  <c r="DX228" i="23"/>
  <c r="DY228" i="23"/>
  <c r="DZ228" i="23"/>
  <c r="EA228" i="23"/>
  <c r="EB228" i="23"/>
  <c r="EC228" i="23"/>
  <c r="ED228" i="23"/>
  <c r="EF228" i="23"/>
  <c r="EG228" i="23"/>
  <c r="C229" i="23"/>
  <c r="D229" i="23"/>
  <c r="E229" i="23"/>
  <c r="F229" i="23"/>
  <c r="G229" i="23"/>
  <c r="H229" i="23"/>
  <c r="I229" i="23"/>
  <c r="J229" i="23"/>
  <c r="K229" i="23"/>
  <c r="L229" i="23"/>
  <c r="M229" i="23"/>
  <c r="O229" i="23"/>
  <c r="P229" i="23"/>
  <c r="Q229" i="23"/>
  <c r="R229" i="23"/>
  <c r="T229" i="23"/>
  <c r="U229" i="23"/>
  <c r="V229" i="23"/>
  <c r="W229" i="23"/>
  <c r="X229" i="23"/>
  <c r="Y229" i="23"/>
  <c r="AB229" i="23"/>
  <c r="AC229" i="23"/>
  <c r="AD229" i="23"/>
  <c r="AE229" i="23"/>
  <c r="AF229" i="23"/>
  <c r="AG229" i="23"/>
  <c r="AI229" i="23"/>
  <c r="AJ229" i="23"/>
  <c r="AK229" i="23"/>
  <c r="AL229" i="23"/>
  <c r="AN229" i="23"/>
  <c r="AO229" i="23"/>
  <c r="AP229" i="23"/>
  <c r="AQ229" i="23"/>
  <c r="AR229" i="23"/>
  <c r="AS229" i="23"/>
  <c r="AT229" i="23"/>
  <c r="AV229" i="23"/>
  <c r="AW229" i="23"/>
  <c r="AX229" i="23"/>
  <c r="AZ229" i="23"/>
  <c r="BA229" i="23"/>
  <c r="BD229" i="23"/>
  <c r="BE229" i="23"/>
  <c r="BF229" i="23"/>
  <c r="BG229" i="23"/>
  <c r="BH229" i="23"/>
  <c r="BI229" i="23"/>
  <c r="BJ229" i="23"/>
  <c r="BK229" i="23"/>
  <c r="BL229" i="23"/>
  <c r="BM229" i="23"/>
  <c r="BO229" i="23"/>
  <c r="BP229" i="23"/>
  <c r="BQ229" i="23"/>
  <c r="BR229" i="23"/>
  <c r="BS229" i="23"/>
  <c r="BT229" i="23"/>
  <c r="BU229" i="23"/>
  <c r="BV229" i="23"/>
  <c r="BW229" i="23"/>
  <c r="BX229" i="23"/>
  <c r="BY229" i="23"/>
  <c r="BZ229" i="23"/>
  <c r="CA229" i="23"/>
  <c r="CB229" i="23"/>
  <c r="CC229" i="23"/>
  <c r="CD229" i="23"/>
  <c r="CE229" i="23"/>
  <c r="CF229" i="23"/>
  <c r="CG229" i="23"/>
  <c r="CH229" i="23"/>
  <c r="CJ229" i="23"/>
  <c r="CK229" i="23"/>
  <c r="CL229" i="23"/>
  <c r="CM229" i="23"/>
  <c r="CN229" i="23"/>
  <c r="CO229" i="23"/>
  <c r="CP229" i="23"/>
  <c r="CQ229" i="23"/>
  <c r="CR229" i="23"/>
  <c r="CS229" i="23"/>
  <c r="CT229" i="23"/>
  <c r="CU229" i="23"/>
  <c r="CV229" i="23"/>
  <c r="CW229" i="23"/>
  <c r="CY229" i="23"/>
  <c r="CZ229" i="23"/>
  <c r="DA229" i="23"/>
  <c r="DD229" i="23"/>
  <c r="DE229" i="23"/>
  <c r="DG229" i="23"/>
  <c r="DH229" i="23"/>
  <c r="DI229" i="23"/>
  <c r="DJ229" i="23"/>
  <c r="DL229" i="23"/>
  <c r="DM229" i="23"/>
  <c r="DN229" i="23"/>
  <c r="DO229" i="23"/>
  <c r="DP229" i="23"/>
  <c r="DQ229" i="23"/>
  <c r="DR229" i="23"/>
  <c r="DS229" i="23"/>
  <c r="DT229" i="23"/>
  <c r="DU229" i="23"/>
  <c r="DV229" i="23"/>
  <c r="DX229" i="23"/>
  <c r="DY229" i="23"/>
  <c r="DZ229" i="23"/>
  <c r="EA229" i="23"/>
  <c r="EB229" i="23"/>
  <c r="EC229" i="23"/>
  <c r="ED229" i="23"/>
  <c r="EF229" i="23"/>
  <c r="EG229" i="23"/>
  <c r="C230" i="23"/>
  <c r="D230" i="23"/>
  <c r="E230" i="23"/>
  <c r="F230" i="23"/>
  <c r="G230" i="23"/>
  <c r="H230" i="23"/>
  <c r="I230" i="23"/>
  <c r="J230" i="23"/>
  <c r="K230" i="23"/>
  <c r="L230" i="23"/>
  <c r="M230" i="23"/>
  <c r="N230" i="23"/>
  <c r="O230" i="23"/>
  <c r="P230" i="23"/>
  <c r="Q230" i="23"/>
  <c r="R230" i="23"/>
  <c r="T230" i="23"/>
  <c r="U230" i="23"/>
  <c r="V230" i="23"/>
  <c r="W230" i="23"/>
  <c r="X230" i="23"/>
  <c r="Y230" i="23"/>
  <c r="AA230" i="23"/>
  <c r="AB230" i="23"/>
  <c r="AC230" i="23"/>
  <c r="AE230" i="23"/>
  <c r="AF230" i="23"/>
  <c r="AG230" i="23"/>
  <c r="AJ230" i="23"/>
  <c r="AK230" i="23"/>
  <c r="AL230" i="23"/>
  <c r="AN230" i="23"/>
  <c r="AO230" i="23"/>
  <c r="AP230" i="23"/>
  <c r="AQ230" i="23"/>
  <c r="AR230" i="23"/>
  <c r="AS230" i="23"/>
  <c r="AT230" i="23"/>
  <c r="AV230" i="23"/>
  <c r="AW230" i="23"/>
  <c r="AX230" i="23"/>
  <c r="AZ230" i="23"/>
  <c r="BA230" i="23"/>
  <c r="BD230" i="23"/>
  <c r="BE230" i="23"/>
  <c r="BH230" i="23"/>
  <c r="BI230" i="23"/>
  <c r="BJ230" i="23"/>
  <c r="BK230" i="23"/>
  <c r="BL230" i="23"/>
  <c r="BM230" i="23"/>
  <c r="BO230" i="23"/>
  <c r="BP230" i="23"/>
  <c r="BQ230" i="23"/>
  <c r="BR230" i="23"/>
  <c r="BS230" i="23"/>
  <c r="BT230" i="23"/>
  <c r="BU230" i="23"/>
  <c r="BV230" i="23"/>
  <c r="BW230" i="23"/>
  <c r="BX230" i="23"/>
  <c r="BY230" i="23"/>
  <c r="BZ230" i="23"/>
  <c r="CA230" i="23"/>
  <c r="CB230" i="23"/>
  <c r="CC230" i="23"/>
  <c r="CD230" i="23"/>
  <c r="CE230" i="23"/>
  <c r="CF230" i="23"/>
  <c r="CG230" i="23"/>
  <c r="CH230" i="23"/>
  <c r="CJ230" i="23"/>
  <c r="CK230" i="23"/>
  <c r="CL230" i="23"/>
  <c r="CM230" i="23"/>
  <c r="CN230" i="23"/>
  <c r="CO230" i="23"/>
  <c r="CP230" i="23"/>
  <c r="CQ230" i="23"/>
  <c r="CR230" i="23"/>
  <c r="CS230" i="23"/>
  <c r="CT230" i="23"/>
  <c r="CU230" i="23"/>
  <c r="CV230" i="23"/>
  <c r="CW230" i="23"/>
  <c r="CY230" i="23"/>
  <c r="CZ230" i="23"/>
  <c r="DA230" i="23"/>
  <c r="DD230" i="23"/>
  <c r="DE230" i="23"/>
  <c r="DF230" i="23"/>
  <c r="DG230" i="23"/>
  <c r="DH230" i="23"/>
  <c r="DI230" i="23"/>
  <c r="DJ230" i="23"/>
  <c r="DL230" i="23"/>
  <c r="DM230" i="23"/>
  <c r="DN230" i="23"/>
  <c r="DO230" i="23"/>
  <c r="DP230" i="23"/>
  <c r="DQ230" i="23"/>
  <c r="DR230" i="23"/>
  <c r="DS230" i="23"/>
  <c r="DT230" i="23"/>
  <c r="DU230" i="23"/>
  <c r="DV230" i="23"/>
  <c r="DX230" i="23"/>
  <c r="DY230" i="23"/>
  <c r="EA230" i="23"/>
  <c r="EB230" i="23"/>
  <c r="EB236" i="23" s="1"/>
  <c r="EC230" i="23"/>
  <c r="ED230" i="23"/>
  <c r="EF230" i="23"/>
  <c r="EG230" i="23"/>
  <c r="C231" i="23"/>
  <c r="D231" i="23"/>
  <c r="E231" i="23"/>
  <c r="F231" i="23"/>
  <c r="G231" i="23"/>
  <c r="H231" i="23"/>
  <c r="I231" i="23"/>
  <c r="J231" i="23"/>
  <c r="K231" i="23"/>
  <c r="L231" i="23"/>
  <c r="M231" i="23"/>
  <c r="N231" i="23"/>
  <c r="O231" i="23"/>
  <c r="P231" i="23"/>
  <c r="Q231" i="23"/>
  <c r="R231" i="23"/>
  <c r="T231" i="23"/>
  <c r="U231" i="23"/>
  <c r="V231" i="23"/>
  <c r="W231" i="23"/>
  <c r="X231" i="23"/>
  <c r="Y231" i="23"/>
  <c r="AA231" i="23"/>
  <c r="AB231" i="23"/>
  <c r="AC231" i="23"/>
  <c r="AE231" i="23"/>
  <c r="AF231" i="23"/>
  <c r="AG231" i="23"/>
  <c r="AJ231" i="23"/>
  <c r="AK231" i="23"/>
  <c r="AL231" i="23"/>
  <c r="AN231" i="23"/>
  <c r="AO231" i="23"/>
  <c r="AP231" i="23"/>
  <c r="AQ231" i="23"/>
  <c r="AR231" i="23"/>
  <c r="AS231" i="23"/>
  <c r="AU231" i="23"/>
  <c r="AV231" i="23"/>
  <c r="AW231" i="23"/>
  <c r="AX231" i="23"/>
  <c r="AY231" i="23"/>
  <c r="AZ231" i="23"/>
  <c r="BA231" i="23"/>
  <c r="BD231" i="23"/>
  <c r="BE231" i="23"/>
  <c r="BF231" i="23"/>
  <c r="BG231" i="23"/>
  <c r="BH231" i="23"/>
  <c r="BI231" i="23"/>
  <c r="BJ231" i="23"/>
  <c r="BK231" i="23"/>
  <c r="BK236" i="23" s="1"/>
  <c r="BL231" i="23"/>
  <c r="BM231" i="23"/>
  <c r="BP231" i="23"/>
  <c r="BQ231" i="23"/>
  <c r="BR231" i="23"/>
  <c r="BS231" i="23"/>
  <c r="BT231" i="23"/>
  <c r="BU231" i="23"/>
  <c r="BV231" i="23"/>
  <c r="BX231" i="23"/>
  <c r="BY231" i="23"/>
  <c r="BZ231" i="23"/>
  <c r="CA231" i="23"/>
  <c r="CB231" i="23"/>
  <c r="CC231" i="23"/>
  <c r="CD231" i="23"/>
  <c r="CF231" i="23"/>
  <c r="CG231" i="23"/>
  <c r="CH231" i="23"/>
  <c r="CI231" i="23"/>
  <c r="CJ231" i="23"/>
  <c r="CK231" i="23"/>
  <c r="CL231" i="23"/>
  <c r="CM231" i="23"/>
  <c r="CN231" i="23"/>
  <c r="CO231" i="23"/>
  <c r="CP231" i="23"/>
  <c r="CQ231" i="23"/>
  <c r="CR231" i="23"/>
  <c r="CS231" i="23"/>
  <c r="CT231" i="23"/>
  <c r="CU231" i="23"/>
  <c r="CV231" i="23"/>
  <c r="CW231" i="23"/>
  <c r="CX231" i="23"/>
  <c r="CY231" i="23"/>
  <c r="CZ231" i="23"/>
  <c r="DA231" i="23"/>
  <c r="DD231" i="23"/>
  <c r="DE231" i="23"/>
  <c r="DF231" i="23"/>
  <c r="DG231" i="23"/>
  <c r="DH231" i="23"/>
  <c r="DI231" i="23"/>
  <c r="DJ231" i="23"/>
  <c r="DL231" i="23"/>
  <c r="DM231" i="23"/>
  <c r="DN231" i="23"/>
  <c r="DO231" i="23"/>
  <c r="DP231" i="23"/>
  <c r="DQ231" i="23"/>
  <c r="DR231" i="23"/>
  <c r="DS231" i="23"/>
  <c r="DT231" i="23"/>
  <c r="DU231" i="23"/>
  <c r="DV231" i="23"/>
  <c r="DX231" i="23"/>
  <c r="DY231" i="23"/>
  <c r="EA231" i="23"/>
  <c r="EB231" i="23"/>
  <c r="EC231" i="23"/>
  <c r="ED231" i="23"/>
  <c r="EF231" i="23"/>
  <c r="EG231" i="23"/>
  <c r="C232" i="23"/>
  <c r="D232" i="23"/>
  <c r="E232" i="23"/>
  <c r="F232" i="23"/>
  <c r="G232" i="23"/>
  <c r="H232" i="23"/>
  <c r="I232" i="23"/>
  <c r="J232" i="23"/>
  <c r="K232" i="23"/>
  <c r="L232" i="23"/>
  <c r="M232" i="23"/>
  <c r="N232" i="23"/>
  <c r="O232" i="23"/>
  <c r="P232" i="23"/>
  <c r="Q232" i="23"/>
  <c r="R232" i="23"/>
  <c r="T232" i="23"/>
  <c r="U232" i="23"/>
  <c r="V232" i="23"/>
  <c r="W232" i="23"/>
  <c r="X232" i="23"/>
  <c r="Y232" i="23"/>
  <c r="AB232" i="23"/>
  <c r="AC232" i="23"/>
  <c r="AD232" i="23"/>
  <c r="AE232" i="23"/>
  <c r="AF232" i="23"/>
  <c r="AG232" i="23"/>
  <c r="AI232" i="23"/>
  <c r="AJ232" i="23"/>
  <c r="AK232" i="23"/>
  <c r="AL232" i="23"/>
  <c r="AN232" i="23"/>
  <c r="AO232" i="23"/>
  <c r="AP232" i="23"/>
  <c r="AQ232" i="23"/>
  <c r="AR232" i="23"/>
  <c r="AS232" i="23"/>
  <c r="AT232" i="23"/>
  <c r="AU232" i="23"/>
  <c r="AV232" i="23"/>
  <c r="AW232" i="23"/>
  <c r="AZ232" i="23"/>
  <c r="BA232" i="23"/>
  <c r="BD232" i="23"/>
  <c r="BE232" i="23"/>
  <c r="BF232" i="23"/>
  <c r="BG232" i="23"/>
  <c r="BH232" i="23"/>
  <c r="BI232" i="23"/>
  <c r="BJ232" i="23"/>
  <c r="BK232" i="23"/>
  <c r="BL232" i="23"/>
  <c r="BM232" i="23"/>
  <c r="BO232" i="23"/>
  <c r="BP232" i="23"/>
  <c r="BQ232" i="23"/>
  <c r="BR232" i="23"/>
  <c r="BS232" i="23"/>
  <c r="BT232" i="23"/>
  <c r="BU232" i="23"/>
  <c r="BV232" i="23"/>
  <c r="BW232" i="23"/>
  <c r="BX232" i="23"/>
  <c r="BY232" i="23"/>
  <c r="BZ232" i="23"/>
  <c r="CA232" i="23"/>
  <c r="CB232" i="23"/>
  <c r="CC232" i="23"/>
  <c r="CD232" i="23"/>
  <c r="CE232" i="23"/>
  <c r="CF232" i="23"/>
  <c r="CG232" i="23"/>
  <c r="CH232" i="23"/>
  <c r="CI232" i="23"/>
  <c r="CJ232" i="23"/>
  <c r="CK232" i="23"/>
  <c r="CL232" i="23"/>
  <c r="CM232" i="23"/>
  <c r="CN232" i="23"/>
  <c r="CO232" i="23"/>
  <c r="CP232" i="23"/>
  <c r="CQ232" i="23"/>
  <c r="CR232" i="23"/>
  <c r="CS232" i="23"/>
  <c r="CT232" i="23"/>
  <c r="CU232" i="23"/>
  <c r="CV232" i="23"/>
  <c r="CW232" i="23"/>
  <c r="CX232" i="23"/>
  <c r="CY232" i="23"/>
  <c r="CZ232" i="23"/>
  <c r="DA232" i="23"/>
  <c r="DD232" i="23"/>
  <c r="DE232" i="23"/>
  <c r="DF232" i="23"/>
  <c r="DH232" i="23"/>
  <c r="DI232" i="23"/>
  <c r="DJ232" i="23"/>
  <c r="DL232" i="23"/>
  <c r="DM232" i="23"/>
  <c r="DN232" i="23"/>
  <c r="DO232" i="23"/>
  <c r="DP232" i="23"/>
  <c r="DQ232" i="23"/>
  <c r="DR232" i="23"/>
  <c r="DS232" i="23"/>
  <c r="DT232" i="23"/>
  <c r="DT236" i="23" s="1"/>
  <c r="DU232" i="23"/>
  <c r="DV232" i="23"/>
  <c r="DX232" i="23"/>
  <c r="DY232" i="23"/>
  <c r="DZ232" i="23"/>
  <c r="EA232" i="23"/>
  <c r="EB232" i="23"/>
  <c r="EC232" i="23"/>
  <c r="ED232" i="23"/>
  <c r="EF232" i="23"/>
  <c r="EG232" i="23"/>
  <c r="C233" i="23"/>
  <c r="D233" i="23"/>
  <c r="E233" i="23"/>
  <c r="G233" i="23"/>
  <c r="H233" i="23"/>
  <c r="I233" i="23"/>
  <c r="K233" i="23"/>
  <c r="L233" i="23"/>
  <c r="M233" i="23"/>
  <c r="N233" i="23"/>
  <c r="O233" i="23"/>
  <c r="P233" i="23"/>
  <c r="Q233" i="23"/>
  <c r="R233" i="23"/>
  <c r="S233" i="23"/>
  <c r="T233" i="23"/>
  <c r="U233" i="23"/>
  <c r="V233" i="23"/>
  <c r="W233" i="23"/>
  <c r="X233" i="23"/>
  <c r="Y233" i="23"/>
  <c r="Z233" i="23"/>
  <c r="AA233" i="23"/>
  <c r="AB233" i="23"/>
  <c r="AC233" i="23"/>
  <c r="AD233" i="23"/>
  <c r="AE233" i="23"/>
  <c r="AF233" i="23"/>
  <c r="AG233" i="23"/>
  <c r="AI233" i="23"/>
  <c r="AJ233" i="23"/>
  <c r="AK233" i="23"/>
  <c r="AL233" i="23"/>
  <c r="AM233" i="23"/>
  <c r="AN233" i="23"/>
  <c r="AO233" i="23"/>
  <c r="AP233" i="23"/>
  <c r="AQ233" i="23"/>
  <c r="AR233" i="23"/>
  <c r="AS233" i="23"/>
  <c r="AT233" i="23"/>
  <c r="AV233" i="23"/>
  <c r="AW233" i="23"/>
  <c r="AX233" i="23"/>
  <c r="AZ233" i="23"/>
  <c r="AZ236" i="23" s="1"/>
  <c r="BA233" i="23"/>
  <c r="BD233" i="23"/>
  <c r="BE233" i="23"/>
  <c r="BG233" i="23"/>
  <c r="BH233" i="23"/>
  <c r="BI233" i="23"/>
  <c r="BJ233" i="23"/>
  <c r="BL233" i="23"/>
  <c r="BM233" i="23"/>
  <c r="BN233" i="23"/>
  <c r="BO233" i="23"/>
  <c r="BP233" i="23"/>
  <c r="BQ233" i="23"/>
  <c r="BS233" i="23"/>
  <c r="BT233" i="23"/>
  <c r="BU233" i="23"/>
  <c r="BV233" i="23"/>
  <c r="BW233" i="23"/>
  <c r="BX233" i="23"/>
  <c r="BY233" i="23"/>
  <c r="BZ233" i="23"/>
  <c r="CA233" i="23"/>
  <c r="CB233" i="23"/>
  <c r="CC233" i="23"/>
  <c r="CD233" i="23"/>
  <c r="CE233" i="23"/>
  <c r="CF233" i="23"/>
  <c r="CG233" i="23"/>
  <c r="CG236" i="23" s="1"/>
  <c r="CH233" i="23"/>
  <c r="CI233" i="23"/>
  <c r="CJ233" i="23"/>
  <c r="CK233" i="23"/>
  <c r="CM233" i="23"/>
  <c r="CN233" i="23"/>
  <c r="CO233" i="23"/>
  <c r="CP233" i="23"/>
  <c r="CQ233" i="23"/>
  <c r="CR233" i="23"/>
  <c r="CS233" i="23"/>
  <c r="CV233" i="23"/>
  <c r="CW233" i="23"/>
  <c r="CX233" i="23"/>
  <c r="CZ233" i="23"/>
  <c r="DA233" i="23"/>
  <c r="DD233" i="23"/>
  <c r="DE233" i="23"/>
  <c r="DF233" i="23"/>
  <c r="DG233" i="23"/>
  <c r="DH233" i="23"/>
  <c r="DI233" i="23"/>
  <c r="DJ233" i="23"/>
  <c r="DL233" i="23"/>
  <c r="DM233" i="23"/>
  <c r="DN233" i="23"/>
  <c r="DO233" i="23"/>
  <c r="DP233" i="23"/>
  <c r="DQ233" i="23"/>
  <c r="DR233" i="23"/>
  <c r="DT233" i="23"/>
  <c r="DU233" i="23"/>
  <c r="DV233" i="23"/>
  <c r="DW233" i="23"/>
  <c r="DX233" i="23"/>
  <c r="DY233" i="23"/>
  <c r="DZ233" i="23"/>
  <c r="EA233" i="23"/>
  <c r="EB233" i="23"/>
  <c r="EC233" i="23"/>
  <c r="ED233" i="23"/>
  <c r="EF233" i="23"/>
  <c r="EG233" i="23"/>
  <c r="EH233" i="23"/>
  <c r="EI233" i="23"/>
  <c r="C234" i="23"/>
  <c r="D234" i="23"/>
  <c r="E234" i="23"/>
  <c r="F234" i="23"/>
  <c r="H234" i="23"/>
  <c r="I234" i="23"/>
  <c r="J234" i="23"/>
  <c r="K234" i="23"/>
  <c r="L234" i="23"/>
  <c r="M234" i="23"/>
  <c r="N234" i="23"/>
  <c r="O234" i="23"/>
  <c r="P234" i="23"/>
  <c r="Q234" i="23"/>
  <c r="R234" i="23"/>
  <c r="S234" i="23"/>
  <c r="T234" i="23"/>
  <c r="U234" i="23"/>
  <c r="V234" i="23"/>
  <c r="W234" i="23"/>
  <c r="X234" i="23"/>
  <c r="Y234" i="23"/>
  <c r="AA234" i="23"/>
  <c r="AB234" i="23"/>
  <c r="AC234" i="23"/>
  <c r="AD234" i="23"/>
  <c r="AE234" i="23"/>
  <c r="AF234" i="23"/>
  <c r="AG234" i="23"/>
  <c r="AI234" i="23"/>
  <c r="AJ234" i="23"/>
  <c r="AK234" i="23"/>
  <c r="AL234" i="23"/>
  <c r="AM234" i="23"/>
  <c r="AN234" i="23"/>
  <c r="AN236" i="23" s="1"/>
  <c r="AO234" i="23"/>
  <c r="AP234" i="23"/>
  <c r="AQ234" i="23"/>
  <c r="AR234" i="23"/>
  <c r="AS234" i="23"/>
  <c r="AT234" i="23"/>
  <c r="AU234" i="23"/>
  <c r="AV234" i="23"/>
  <c r="AW234" i="23"/>
  <c r="AZ234" i="23"/>
  <c r="BA234" i="23"/>
  <c r="BD234" i="23"/>
  <c r="BE234" i="23"/>
  <c r="BF234" i="23"/>
  <c r="BG234" i="23"/>
  <c r="BH234" i="23"/>
  <c r="BI234" i="23"/>
  <c r="BJ234" i="23"/>
  <c r="BK234" i="23"/>
  <c r="BL234" i="23"/>
  <c r="BM234" i="23"/>
  <c r="BN234" i="23"/>
  <c r="BP234" i="23"/>
  <c r="BQ234" i="23"/>
  <c r="BR234" i="23"/>
  <c r="BS234" i="23"/>
  <c r="BT234" i="23"/>
  <c r="BU234" i="23"/>
  <c r="BV234" i="23"/>
  <c r="BX234" i="23"/>
  <c r="BY234" i="23"/>
  <c r="BZ234" i="23"/>
  <c r="CA234" i="23"/>
  <c r="CB234" i="23"/>
  <c r="CC234" i="23"/>
  <c r="CD234" i="23"/>
  <c r="CF234" i="23"/>
  <c r="CG234" i="23"/>
  <c r="CH234" i="23"/>
  <c r="CI234" i="23"/>
  <c r="CJ234" i="23"/>
  <c r="CK234" i="23"/>
  <c r="CL234" i="23"/>
  <c r="CM234" i="23"/>
  <c r="CN234" i="23"/>
  <c r="CO234" i="23"/>
  <c r="CP234" i="23"/>
  <c r="CQ234" i="23"/>
  <c r="CR234" i="23"/>
  <c r="CS234" i="23"/>
  <c r="CT234" i="23"/>
  <c r="CU234" i="23"/>
  <c r="CV234" i="23"/>
  <c r="CW234" i="23"/>
  <c r="CX234" i="23"/>
  <c r="CY234" i="23"/>
  <c r="CZ234" i="23"/>
  <c r="DA234" i="23"/>
  <c r="DB234" i="23"/>
  <c r="DD234" i="23"/>
  <c r="DE234" i="23"/>
  <c r="DF234" i="23"/>
  <c r="DG234" i="23"/>
  <c r="DH234" i="23"/>
  <c r="DI234" i="23"/>
  <c r="DJ234" i="23"/>
  <c r="DL234" i="23"/>
  <c r="DM234" i="23"/>
  <c r="DN234" i="23"/>
  <c r="DO234" i="23"/>
  <c r="DP234" i="23"/>
  <c r="DQ234" i="23"/>
  <c r="DR234" i="23"/>
  <c r="DS234" i="23"/>
  <c r="DT234" i="23"/>
  <c r="DU234" i="23"/>
  <c r="DV234" i="23"/>
  <c r="DW234" i="23"/>
  <c r="DX234" i="23"/>
  <c r="DY234" i="23"/>
  <c r="DZ234" i="23"/>
  <c r="EA234" i="23"/>
  <c r="EB234" i="23"/>
  <c r="EC234" i="23"/>
  <c r="ED234" i="23"/>
  <c r="EE234" i="23"/>
  <c r="EF234" i="23"/>
  <c r="EG234" i="23"/>
  <c r="EH234" i="23"/>
  <c r="EI234" i="23"/>
  <c r="C235" i="23"/>
  <c r="D235" i="23"/>
  <c r="D236" i="23" s="1"/>
  <c r="E235" i="23"/>
  <c r="F235" i="23"/>
  <c r="G235" i="23"/>
  <c r="H235" i="23"/>
  <c r="I235" i="23"/>
  <c r="J235" i="23"/>
  <c r="L235" i="23"/>
  <c r="M235" i="23"/>
  <c r="P235" i="23"/>
  <c r="Q235" i="23"/>
  <c r="R235" i="23"/>
  <c r="S235" i="23"/>
  <c r="T235" i="23"/>
  <c r="U235" i="23"/>
  <c r="X235" i="23"/>
  <c r="Y235" i="23"/>
  <c r="Z235" i="23"/>
  <c r="AA235" i="23"/>
  <c r="AB235" i="23"/>
  <c r="AC235" i="23"/>
  <c r="AD235" i="23"/>
  <c r="AF235" i="23"/>
  <c r="AG235" i="23"/>
  <c r="AI235" i="23"/>
  <c r="AJ235" i="23"/>
  <c r="AK235" i="23"/>
  <c r="AL235" i="23"/>
  <c r="AM235" i="23"/>
  <c r="AN235" i="23"/>
  <c r="AO235" i="23"/>
  <c r="AP235" i="23"/>
  <c r="AR235" i="23"/>
  <c r="AS235" i="23"/>
  <c r="AT235" i="23"/>
  <c r="AV235" i="23"/>
  <c r="AW235" i="23"/>
  <c r="AX235" i="23"/>
  <c r="AY235" i="23"/>
  <c r="AZ235" i="23"/>
  <c r="BA235" i="23"/>
  <c r="BB235" i="23"/>
  <c r="BC235" i="23"/>
  <c r="BD235" i="23"/>
  <c r="BE235" i="23"/>
  <c r="BF235" i="23"/>
  <c r="BG235" i="23"/>
  <c r="BH235" i="23"/>
  <c r="BI235" i="23"/>
  <c r="BI236" i="23" s="1"/>
  <c r="BK235" i="23"/>
  <c r="BL235" i="23"/>
  <c r="BM235" i="23"/>
  <c r="BN235" i="23"/>
  <c r="BO235" i="23"/>
  <c r="BP235" i="23"/>
  <c r="BQ235" i="23"/>
  <c r="BR235" i="23"/>
  <c r="BT235" i="23"/>
  <c r="BU235" i="23"/>
  <c r="BV235" i="23"/>
  <c r="BW235" i="23"/>
  <c r="BX235" i="23"/>
  <c r="BY235" i="23"/>
  <c r="CA235" i="23"/>
  <c r="CB235" i="23"/>
  <c r="CC235" i="23"/>
  <c r="CD235" i="23"/>
  <c r="CE235" i="23"/>
  <c r="CF235" i="23"/>
  <c r="CG235" i="23"/>
  <c r="CJ235" i="23"/>
  <c r="CK235" i="23"/>
  <c r="CL235" i="23"/>
  <c r="CM235" i="23"/>
  <c r="CN235" i="23"/>
  <c r="CO235" i="23"/>
  <c r="CP235" i="23"/>
  <c r="CR235" i="23"/>
  <c r="CS235" i="23"/>
  <c r="CT235" i="23"/>
  <c r="CV235" i="23"/>
  <c r="CV236" i="23" s="1"/>
  <c r="CW235" i="23"/>
  <c r="CX235" i="23"/>
  <c r="CY235" i="23"/>
  <c r="CZ235" i="23"/>
  <c r="DA235" i="23"/>
  <c r="DB235" i="23"/>
  <c r="DC235" i="23"/>
  <c r="DD235" i="23"/>
  <c r="DE235" i="23"/>
  <c r="DF235" i="23"/>
  <c r="DG235" i="23"/>
  <c r="DH235" i="23"/>
  <c r="DI235" i="23"/>
  <c r="DJ235" i="23"/>
  <c r="DK235" i="23"/>
  <c r="DL235" i="23"/>
  <c r="DM235" i="23"/>
  <c r="DP235" i="23"/>
  <c r="DQ235" i="23"/>
  <c r="DR235" i="23"/>
  <c r="DR236" i="23" s="1"/>
  <c r="DS235" i="23"/>
  <c r="DT235" i="23"/>
  <c r="DU235" i="23"/>
  <c r="DW235" i="23"/>
  <c r="DX235" i="23"/>
  <c r="DY235" i="23"/>
  <c r="DZ235" i="23"/>
  <c r="EA235" i="23"/>
  <c r="EB235" i="23"/>
  <c r="EC235" i="23"/>
  <c r="ED235" i="23"/>
  <c r="EE235" i="23"/>
  <c r="EF235" i="23"/>
  <c r="EG235" i="23"/>
  <c r="EH235" i="23"/>
  <c r="EI235" i="23"/>
  <c r="EI236" i="23" s="1"/>
  <c r="C239" i="23"/>
  <c r="D239" i="23"/>
  <c r="E239" i="23"/>
  <c r="G239" i="23"/>
  <c r="H239" i="23"/>
  <c r="I239" i="23"/>
  <c r="K239" i="23"/>
  <c r="L239" i="23"/>
  <c r="M239" i="23"/>
  <c r="N239" i="23"/>
  <c r="O239" i="23"/>
  <c r="P239" i="23"/>
  <c r="Q239" i="23"/>
  <c r="S239" i="23"/>
  <c r="T239" i="23"/>
  <c r="U239" i="23"/>
  <c r="V239" i="23"/>
  <c r="X239" i="23"/>
  <c r="Y239" i="23"/>
  <c r="Z239" i="23"/>
  <c r="AA239" i="23"/>
  <c r="AB239" i="23"/>
  <c r="AC239" i="23"/>
  <c r="AD239" i="23"/>
  <c r="AE239" i="23"/>
  <c r="AF239" i="23"/>
  <c r="AG239" i="23"/>
  <c r="AI239" i="23"/>
  <c r="AJ239" i="23"/>
  <c r="AK239" i="23"/>
  <c r="AL239" i="23"/>
  <c r="AM239" i="23"/>
  <c r="AN239" i="23"/>
  <c r="AO239" i="23"/>
  <c r="AP239" i="23"/>
  <c r="AQ239" i="23"/>
  <c r="AR239" i="23"/>
  <c r="AS239" i="23"/>
  <c r="AT239" i="23"/>
  <c r="AU239" i="23"/>
  <c r="AV239" i="23"/>
  <c r="AW239" i="23"/>
  <c r="AX239" i="23"/>
  <c r="AZ239" i="23"/>
  <c r="BA239" i="23"/>
  <c r="BC239" i="23"/>
  <c r="BD239" i="23"/>
  <c r="BE239" i="23"/>
  <c r="BF239" i="23"/>
  <c r="BG239" i="23"/>
  <c r="BH239" i="23"/>
  <c r="BI239" i="23"/>
  <c r="BJ239" i="23"/>
  <c r="BL239" i="23"/>
  <c r="BM239" i="23"/>
  <c r="BN239" i="23"/>
  <c r="BO239" i="23"/>
  <c r="BP239" i="23"/>
  <c r="BQ239" i="23"/>
  <c r="BR239" i="23"/>
  <c r="BS239" i="23"/>
  <c r="BT239" i="23"/>
  <c r="BU239" i="23"/>
  <c r="BV239" i="23"/>
  <c r="BW239" i="23"/>
  <c r="BX239" i="23"/>
  <c r="BY239" i="23"/>
  <c r="BZ239" i="23"/>
  <c r="CA239" i="23"/>
  <c r="CB239" i="23"/>
  <c r="CC239" i="23"/>
  <c r="CD239" i="23"/>
  <c r="CE239" i="23"/>
  <c r="CF239" i="23"/>
  <c r="CG239" i="23"/>
  <c r="CH239" i="23"/>
  <c r="CI239" i="23"/>
  <c r="CJ239" i="23"/>
  <c r="CK239" i="23"/>
  <c r="CL239" i="23"/>
  <c r="CM239" i="23"/>
  <c r="CN239" i="23"/>
  <c r="CO239" i="23"/>
  <c r="CQ239" i="23"/>
  <c r="CR239" i="23"/>
  <c r="CS239" i="23"/>
  <c r="CU239" i="23"/>
  <c r="CV239" i="23"/>
  <c r="CW239" i="23"/>
  <c r="CZ239" i="23"/>
  <c r="DA239" i="23"/>
  <c r="DB239" i="23"/>
  <c r="DD239" i="23"/>
  <c r="DE239" i="23"/>
  <c r="DF239" i="23"/>
  <c r="DG239" i="23"/>
  <c r="DH239" i="23"/>
  <c r="DI239" i="23"/>
  <c r="DJ239" i="23"/>
  <c r="DL239" i="23"/>
  <c r="DM239" i="23"/>
  <c r="DN239" i="23"/>
  <c r="DO239" i="23"/>
  <c r="DP239" i="23"/>
  <c r="DQ239" i="23"/>
  <c r="DS239" i="23"/>
  <c r="DT239" i="23"/>
  <c r="DU239" i="23"/>
  <c r="DV239" i="23"/>
  <c r="DW239" i="23"/>
  <c r="DX239" i="23"/>
  <c r="DY239" i="23"/>
  <c r="DZ239" i="23"/>
  <c r="EA239" i="23"/>
  <c r="EB239" i="23"/>
  <c r="EC239" i="23"/>
  <c r="ED239" i="23"/>
  <c r="EE239" i="23"/>
  <c r="EF239" i="23"/>
  <c r="EG239" i="23"/>
  <c r="EH239" i="23"/>
  <c r="EI239" i="23"/>
  <c r="D240" i="23"/>
  <c r="E240" i="23"/>
  <c r="G240" i="23"/>
  <c r="H240" i="23"/>
  <c r="I240" i="23"/>
  <c r="K240" i="23"/>
  <c r="L240" i="23"/>
  <c r="M240" i="23"/>
  <c r="N240" i="23"/>
  <c r="O240" i="23"/>
  <c r="P240" i="23"/>
  <c r="Q240" i="23"/>
  <c r="S240" i="23"/>
  <c r="T240" i="23"/>
  <c r="U240" i="23"/>
  <c r="V240" i="23"/>
  <c r="X240" i="23"/>
  <c r="Y240" i="23"/>
  <c r="Z240" i="23"/>
  <c r="AA240" i="23"/>
  <c r="AB240" i="23"/>
  <c r="AC240" i="23"/>
  <c r="AD240" i="23"/>
  <c r="AE240" i="23"/>
  <c r="AF240" i="23"/>
  <c r="AG240" i="23"/>
  <c r="AI240" i="23"/>
  <c r="AJ240" i="23"/>
  <c r="AK240" i="23"/>
  <c r="AL240" i="23"/>
  <c r="AM240" i="23"/>
  <c r="AN240" i="23"/>
  <c r="AO240" i="23"/>
  <c r="AP240" i="23"/>
  <c r="AQ240" i="23"/>
  <c r="AR240" i="23"/>
  <c r="AS240" i="23"/>
  <c r="AT240" i="23"/>
  <c r="AU240" i="23"/>
  <c r="AV240" i="23"/>
  <c r="AW240" i="23"/>
  <c r="AX240" i="23"/>
  <c r="AZ240" i="23"/>
  <c r="BA240" i="23"/>
  <c r="BC240" i="23"/>
  <c r="BD240" i="23"/>
  <c r="BE240" i="23"/>
  <c r="BF240" i="23"/>
  <c r="BH240" i="23"/>
  <c r="BI240" i="23"/>
  <c r="BJ240" i="23"/>
  <c r="BL240" i="23"/>
  <c r="BM240" i="23"/>
  <c r="BN240" i="23"/>
  <c r="BO240" i="23"/>
  <c r="BP240" i="23"/>
  <c r="BQ240" i="23"/>
  <c r="BR240" i="23"/>
  <c r="BS240" i="23"/>
  <c r="BT240" i="23"/>
  <c r="BU240" i="23"/>
  <c r="BV240" i="23"/>
  <c r="BW240" i="23"/>
  <c r="BX240" i="23"/>
  <c r="BY240" i="23"/>
  <c r="BZ240" i="23"/>
  <c r="CB240" i="23"/>
  <c r="CC240" i="23"/>
  <c r="CD240" i="23"/>
  <c r="CE240" i="23"/>
  <c r="CF240" i="23"/>
  <c r="CG240" i="23"/>
  <c r="CH240" i="23"/>
  <c r="CI240" i="23"/>
  <c r="CJ240" i="23"/>
  <c r="CK240" i="23"/>
  <c r="CM240" i="23"/>
  <c r="CN240" i="23"/>
  <c r="CO240" i="23"/>
  <c r="CQ240" i="23"/>
  <c r="CR240" i="23"/>
  <c r="CS240" i="23"/>
  <c r="CT240" i="23"/>
  <c r="CU240" i="23"/>
  <c r="CV240" i="23"/>
  <c r="CW240" i="23"/>
  <c r="CZ240" i="23"/>
  <c r="DA240" i="23"/>
  <c r="DB240" i="23"/>
  <c r="DD240" i="23"/>
  <c r="DE240" i="23"/>
  <c r="DF240" i="23"/>
  <c r="DG240" i="23"/>
  <c r="DH240" i="23"/>
  <c r="DI240" i="23"/>
  <c r="DJ240" i="23"/>
  <c r="DL240" i="23"/>
  <c r="DM240" i="23"/>
  <c r="DN240" i="23"/>
  <c r="DO240" i="23"/>
  <c r="DP240" i="23"/>
  <c r="DQ240" i="23"/>
  <c r="DR240" i="23"/>
  <c r="DS240" i="23"/>
  <c r="DT240" i="23"/>
  <c r="DU240" i="23"/>
  <c r="DV240" i="23"/>
  <c r="DW240" i="23"/>
  <c r="DX240" i="23"/>
  <c r="DY240" i="23"/>
  <c r="DZ240" i="23"/>
  <c r="EB240" i="23"/>
  <c r="EC240" i="23"/>
  <c r="ED240" i="23"/>
  <c r="EE240" i="23"/>
  <c r="EF240" i="23"/>
  <c r="EG240" i="23"/>
  <c r="EH240" i="23"/>
  <c r="EI240" i="23"/>
  <c r="D241" i="23"/>
  <c r="E241" i="23"/>
  <c r="F241" i="23"/>
  <c r="G241" i="23"/>
  <c r="H241" i="23"/>
  <c r="I241" i="23"/>
  <c r="J241" i="23"/>
  <c r="L241" i="23"/>
  <c r="M241" i="23"/>
  <c r="N241" i="23"/>
  <c r="O241" i="23"/>
  <c r="P241" i="23"/>
  <c r="Q241" i="23"/>
  <c r="R241" i="23"/>
  <c r="S241" i="23"/>
  <c r="T241" i="23"/>
  <c r="U241" i="23"/>
  <c r="W241" i="23"/>
  <c r="X241" i="23"/>
  <c r="Y241" i="23"/>
  <c r="Z241" i="23"/>
  <c r="AA241" i="23"/>
  <c r="AB241" i="23"/>
  <c r="AC241" i="23"/>
  <c r="AD241" i="23"/>
  <c r="AF241" i="23"/>
  <c r="AG241" i="23"/>
  <c r="AI241" i="23"/>
  <c r="AJ241" i="23"/>
  <c r="AK241" i="23"/>
  <c r="AL241" i="23"/>
  <c r="AM241" i="23"/>
  <c r="AN241" i="23"/>
  <c r="AO241" i="23"/>
  <c r="AR241" i="23"/>
  <c r="AS241" i="23"/>
  <c r="AT241" i="23"/>
  <c r="AV241" i="23"/>
  <c r="AW241" i="23"/>
  <c r="AX241" i="23"/>
  <c r="AZ241" i="23"/>
  <c r="BA241" i="23"/>
  <c r="BC241" i="23"/>
  <c r="BD241" i="23"/>
  <c r="BE241" i="23"/>
  <c r="BF241" i="23"/>
  <c r="BG241" i="23"/>
  <c r="BH241" i="23"/>
  <c r="BI241" i="23"/>
  <c r="BK241" i="23"/>
  <c r="BL241" i="23"/>
  <c r="BM241" i="23"/>
  <c r="BN241" i="23"/>
  <c r="BO241" i="23"/>
  <c r="BP241" i="23"/>
  <c r="BQ241" i="23"/>
  <c r="BR241" i="23"/>
  <c r="BS241" i="23"/>
  <c r="BT241" i="23"/>
  <c r="BU241" i="23"/>
  <c r="BV241" i="23"/>
  <c r="BW241" i="23"/>
  <c r="BX241" i="23"/>
  <c r="BY241" i="23"/>
  <c r="CB241" i="23"/>
  <c r="CC241" i="23"/>
  <c r="CD241" i="23"/>
  <c r="CE241" i="23"/>
  <c r="CF241" i="23"/>
  <c r="CG241" i="23"/>
  <c r="CI241" i="23"/>
  <c r="CJ241" i="23"/>
  <c r="CK241" i="23"/>
  <c r="CM241" i="23"/>
  <c r="CN241" i="23"/>
  <c r="CO241" i="23"/>
  <c r="CP241" i="23"/>
  <c r="CQ241" i="23"/>
  <c r="CR241" i="23"/>
  <c r="CS241" i="23"/>
  <c r="CT241" i="23"/>
  <c r="CU241" i="23"/>
  <c r="CV241" i="23"/>
  <c r="CW241" i="23"/>
  <c r="CY241" i="23"/>
  <c r="CZ241" i="23"/>
  <c r="DA241" i="23"/>
  <c r="DD241" i="23"/>
  <c r="DE241" i="23"/>
  <c r="DF241" i="23"/>
  <c r="DG241" i="23"/>
  <c r="DH241" i="23"/>
  <c r="DI241" i="23"/>
  <c r="DJ241" i="23"/>
  <c r="DL241" i="23"/>
  <c r="DM241" i="23"/>
  <c r="DN241" i="23"/>
  <c r="DP241" i="23"/>
  <c r="DQ241" i="23"/>
  <c r="DS241" i="23"/>
  <c r="DT241" i="23"/>
  <c r="DU241" i="23"/>
  <c r="DV241" i="23"/>
  <c r="DW241" i="23"/>
  <c r="DX241" i="23"/>
  <c r="DY241" i="23"/>
  <c r="DZ241" i="23"/>
  <c r="EA241" i="23"/>
  <c r="EB241" i="23"/>
  <c r="EC241" i="23"/>
  <c r="ED241" i="23"/>
  <c r="EF241" i="23"/>
  <c r="EG241" i="23"/>
  <c r="EH241" i="23"/>
  <c r="EI241" i="23"/>
  <c r="C242" i="23"/>
  <c r="D242" i="23"/>
  <c r="E242" i="23"/>
  <c r="F242" i="23"/>
  <c r="G242" i="23"/>
  <c r="H242" i="23"/>
  <c r="I242" i="23"/>
  <c r="J242" i="23"/>
  <c r="K242" i="23"/>
  <c r="L242" i="23"/>
  <c r="M242" i="23"/>
  <c r="N242" i="23"/>
  <c r="P242" i="23"/>
  <c r="Q242" i="23"/>
  <c r="R242" i="23"/>
  <c r="S242" i="23"/>
  <c r="T242" i="23"/>
  <c r="U242" i="23"/>
  <c r="W242" i="23"/>
  <c r="X242" i="23"/>
  <c r="Y242" i="23"/>
  <c r="Z242" i="23"/>
  <c r="AA242" i="23"/>
  <c r="AB242" i="23"/>
  <c r="AC242" i="23"/>
  <c r="AD242" i="23"/>
  <c r="AF242" i="23"/>
  <c r="AG242" i="23"/>
  <c r="AI242" i="23"/>
  <c r="AJ242" i="23"/>
  <c r="AK242" i="23"/>
  <c r="AL242" i="23"/>
  <c r="AM242" i="23"/>
  <c r="AN242" i="23"/>
  <c r="AO242" i="23"/>
  <c r="AP242" i="23"/>
  <c r="AQ242" i="23"/>
  <c r="AR242" i="23"/>
  <c r="AS242" i="23"/>
  <c r="AU242" i="23"/>
  <c r="AV242" i="23"/>
  <c r="AW242" i="23"/>
  <c r="AX242" i="23"/>
  <c r="AZ242" i="23"/>
  <c r="BA242" i="23"/>
  <c r="BD242" i="23"/>
  <c r="BE242" i="23"/>
  <c r="BF242" i="23"/>
  <c r="BH242" i="23"/>
  <c r="BI242" i="23"/>
  <c r="BK242" i="23"/>
  <c r="BL242" i="23"/>
  <c r="BM242" i="23"/>
  <c r="BN242" i="23"/>
  <c r="BO242" i="23"/>
  <c r="BP242" i="23"/>
  <c r="BQ242" i="23"/>
  <c r="BR242" i="23"/>
  <c r="BT242" i="23"/>
  <c r="BU242" i="23"/>
  <c r="BV242" i="23"/>
  <c r="BW242" i="23"/>
  <c r="BX242" i="23"/>
  <c r="BY242" i="23"/>
  <c r="CA242" i="23"/>
  <c r="CB242" i="23"/>
  <c r="CC242" i="23"/>
  <c r="CD242" i="23"/>
  <c r="CE242" i="23"/>
  <c r="CF242" i="23"/>
  <c r="CG242" i="23"/>
  <c r="CH242" i="23"/>
  <c r="CI242" i="23"/>
  <c r="CJ242" i="23"/>
  <c r="CK242" i="23"/>
  <c r="CN242" i="23"/>
  <c r="CO242" i="23"/>
  <c r="CR242" i="23"/>
  <c r="CS242" i="23"/>
  <c r="CT242" i="23"/>
  <c r="CU242" i="23"/>
  <c r="CV242" i="23"/>
  <c r="CW242" i="23"/>
  <c r="CX242" i="23"/>
  <c r="CY242" i="23"/>
  <c r="CZ242" i="23"/>
  <c r="DA242" i="23"/>
  <c r="DB242" i="23"/>
  <c r="DD242" i="23"/>
  <c r="DE242" i="23"/>
  <c r="DF242" i="23"/>
  <c r="DG242" i="23"/>
  <c r="DH242" i="23"/>
  <c r="DI242" i="23"/>
  <c r="DJ242" i="23"/>
  <c r="DL242" i="23"/>
  <c r="DM242" i="23"/>
  <c r="DN242" i="23"/>
  <c r="DP242" i="23"/>
  <c r="DQ242" i="23"/>
  <c r="DR242" i="23"/>
  <c r="DS242" i="23"/>
  <c r="DT242" i="23"/>
  <c r="DU242" i="23"/>
  <c r="DW242" i="23"/>
  <c r="DX242" i="23"/>
  <c r="DY242" i="23"/>
  <c r="DZ242" i="23"/>
  <c r="EB242" i="23"/>
  <c r="EC242" i="23"/>
  <c r="EF242" i="23"/>
  <c r="EG242" i="23"/>
  <c r="C243" i="23"/>
  <c r="D243" i="23"/>
  <c r="E243" i="23"/>
  <c r="F243" i="23"/>
  <c r="H243" i="23"/>
  <c r="I243" i="23"/>
  <c r="J243" i="23"/>
  <c r="K243" i="23"/>
  <c r="L243" i="23"/>
  <c r="M243" i="23"/>
  <c r="N243" i="23"/>
  <c r="O243" i="23"/>
  <c r="P243" i="23"/>
  <c r="Q243" i="23"/>
  <c r="R243" i="23"/>
  <c r="S243" i="23"/>
  <c r="T243" i="23"/>
  <c r="U243" i="23"/>
  <c r="V243" i="23"/>
  <c r="W243" i="23"/>
  <c r="X243" i="23"/>
  <c r="Y243" i="23"/>
  <c r="Z243" i="23"/>
  <c r="AA243" i="23"/>
  <c r="AB243" i="23"/>
  <c r="AC243" i="23"/>
  <c r="AD243" i="23"/>
  <c r="AE243" i="23"/>
  <c r="AF243" i="23"/>
  <c r="AG243" i="23"/>
  <c r="AH243" i="23"/>
  <c r="AI243" i="23"/>
  <c r="AJ243" i="23"/>
  <c r="AK243" i="23"/>
  <c r="AL243" i="23"/>
  <c r="AM243" i="23"/>
  <c r="AN243" i="23"/>
  <c r="AO243" i="23"/>
  <c r="AP243" i="23"/>
  <c r="AQ243" i="23"/>
  <c r="AR243" i="23"/>
  <c r="AS243" i="23"/>
  <c r="AU243" i="23"/>
  <c r="AV243" i="23"/>
  <c r="AW243" i="23"/>
  <c r="AZ243" i="23"/>
  <c r="BA243" i="23"/>
  <c r="BD243" i="23"/>
  <c r="BE243" i="23"/>
  <c r="BF243" i="23"/>
  <c r="BH243" i="23"/>
  <c r="BI243" i="23"/>
  <c r="BJ243" i="23"/>
  <c r="BK243" i="23"/>
  <c r="BL243" i="23"/>
  <c r="BM243" i="23"/>
  <c r="BN243" i="23"/>
  <c r="BO243" i="23"/>
  <c r="BP243" i="23"/>
  <c r="BQ243" i="23"/>
  <c r="BR243" i="23"/>
  <c r="BS243" i="23"/>
  <c r="BT243" i="23"/>
  <c r="BU243" i="23"/>
  <c r="BV243" i="23"/>
  <c r="BW243" i="23"/>
  <c r="BX243" i="23"/>
  <c r="BY243" i="23"/>
  <c r="CA243" i="23"/>
  <c r="CB243" i="23"/>
  <c r="CC243" i="23"/>
  <c r="CD243" i="23"/>
  <c r="CE243" i="23"/>
  <c r="CF243" i="23"/>
  <c r="CG243" i="23"/>
  <c r="CH243" i="23"/>
  <c r="CI243" i="23"/>
  <c r="CJ243" i="23"/>
  <c r="CK243" i="23"/>
  <c r="CM243" i="23"/>
  <c r="CN243" i="23"/>
  <c r="CO243" i="23"/>
  <c r="CP243" i="23"/>
  <c r="CQ243" i="23"/>
  <c r="CR243" i="23"/>
  <c r="CS243" i="23"/>
  <c r="CT243" i="23"/>
  <c r="CU243" i="23"/>
  <c r="CV243" i="23"/>
  <c r="CW243" i="23"/>
  <c r="CX243" i="23"/>
  <c r="CY243" i="23"/>
  <c r="CZ243" i="23"/>
  <c r="DA243" i="23"/>
  <c r="DD243" i="23"/>
  <c r="DE243" i="23"/>
  <c r="DF243" i="23"/>
  <c r="DH243" i="23"/>
  <c r="DI243" i="23"/>
  <c r="DJ243" i="23"/>
  <c r="DL243" i="23"/>
  <c r="DM243" i="23"/>
  <c r="DO243" i="23"/>
  <c r="DP243" i="23"/>
  <c r="DQ243" i="23"/>
  <c r="DR243" i="23"/>
  <c r="DS243" i="23"/>
  <c r="DT243" i="23"/>
  <c r="DU243" i="23"/>
  <c r="DV243" i="23"/>
  <c r="DW243" i="23"/>
  <c r="DX243" i="23"/>
  <c r="DY243" i="23"/>
  <c r="DZ243" i="23"/>
  <c r="EA243" i="23"/>
  <c r="EB243" i="23"/>
  <c r="EC243" i="23"/>
  <c r="EF243" i="23"/>
  <c r="EG243" i="23"/>
  <c r="EH243" i="23"/>
  <c r="C244" i="23"/>
  <c r="D244" i="23"/>
  <c r="E244" i="23"/>
  <c r="F244" i="23"/>
  <c r="H244" i="23"/>
  <c r="I244" i="23"/>
  <c r="J244" i="23"/>
  <c r="K244" i="23"/>
  <c r="L244" i="23"/>
  <c r="M244" i="23"/>
  <c r="O244" i="23"/>
  <c r="P244" i="23"/>
  <c r="Q244" i="23"/>
  <c r="R244" i="23"/>
  <c r="S244" i="23"/>
  <c r="T244" i="23"/>
  <c r="U244" i="23"/>
  <c r="V244" i="23"/>
  <c r="X244" i="23"/>
  <c r="Y244" i="23"/>
  <c r="Z244" i="23"/>
  <c r="AA244" i="23"/>
  <c r="AB244" i="23"/>
  <c r="AC244" i="23"/>
  <c r="AD244" i="23"/>
  <c r="AE244" i="23"/>
  <c r="AF244" i="23"/>
  <c r="AG244" i="23"/>
  <c r="AI244" i="23"/>
  <c r="AJ244" i="23"/>
  <c r="AK244" i="23"/>
  <c r="AL244" i="23"/>
  <c r="AM244" i="23"/>
  <c r="AN244" i="23"/>
  <c r="AO244" i="23"/>
  <c r="AP244" i="23"/>
  <c r="AQ244" i="23"/>
  <c r="AR244" i="23"/>
  <c r="AS244" i="23"/>
  <c r="AU244" i="23"/>
  <c r="AV244" i="23"/>
  <c r="AW244" i="23"/>
  <c r="AZ244" i="23"/>
  <c r="BA244" i="23"/>
  <c r="BD244" i="23"/>
  <c r="BE244" i="23"/>
  <c r="BF244" i="23"/>
  <c r="BH244" i="23"/>
  <c r="BI244" i="23"/>
  <c r="BJ244" i="23"/>
  <c r="BK244" i="23"/>
  <c r="BL244" i="23"/>
  <c r="BM244" i="23"/>
  <c r="BN244" i="23"/>
  <c r="BO244" i="23"/>
  <c r="BP244" i="23"/>
  <c r="BQ244" i="23"/>
  <c r="BR244" i="23"/>
  <c r="BS244" i="23"/>
  <c r="BT244" i="23"/>
  <c r="BU244" i="23"/>
  <c r="BV244" i="23"/>
  <c r="BW244" i="23"/>
  <c r="BX244" i="23"/>
  <c r="BY244" i="23"/>
  <c r="BZ244" i="23"/>
  <c r="CA244" i="23"/>
  <c r="CB244" i="23"/>
  <c r="CC244" i="23"/>
  <c r="CD244" i="23"/>
  <c r="CE244" i="23"/>
  <c r="CF244" i="23"/>
  <c r="CG244" i="23"/>
  <c r="CH244" i="23"/>
  <c r="CI244" i="23"/>
  <c r="CJ244" i="23"/>
  <c r="CK244" i="23"/>
  <c r="CL244" i="23"/>
  <c r="CN244" i="23"/>
  <c r="CO244" i="23"/>
  <c r="CQ244" i="23"/>
  <c r="CR244" i="23"/>
  <c r="CS244" i="23"/>
  <c r="CT244" i="23"/>
  <c r="CU244" i="23"/>
  <c r="CV244" i="23"/>
  <c r="CW244" i="23"/>
  <c r="CX244" i="23"/>
  <c r="CY244" i="23"/>
  <c r="CZ244" i="23"/>
  <c r="DA244" i="23"/>
  <c r="DD244" i="23"/>
  <c r="DE244" i="23"/>
  <c r="DF244" i="23"/>
  <c r="DH244" i="23"/>
  <c r="DI244" i="23"/>
  <c r="DJ244" i="23"/>
  <c r="DL244" i="23"/>
  <c r="DM244" i="23"/>
  <c r="DN244" i="23"/>
  <c r="DO244" i="23"/>
  <c r="DP244" i="23"/>
  <c r="DQ244" i="23"/>
  <c r="DR244" i="23"/>
  <c r="DS244" i="23"/>
  <c r="DT244" i="23"/>
  <c r="DU244" i="23"/>
  <c r="DV244" i="23"/>
  <c r="DW244" i="23"/>
  <c r="DX244" i="23"/>
  <c r="DY244" i="23"/>
  <c r="DZ244" i="23"/>
  <c r="EA244" i="23"/>
  <c r="EB244" i="23"/>
  <c r="EC244" i="23"/>
  <c r="ED244" i="23"/>
  <c r="EF244" i="23"/>
  <c r="EG244" i="23"/>
  <c r="C245" i="23"/>
  <c r="D245" i="23"/>
  <c r="E245" i="23"/>
  <c r="F245" i="23"/>
  <c r="H245" i="23"/>
  <c r="I245" i="23"/>
  <c r="J245" i="23"/>
  <c r="K245" i="23"/>
  <c r="L245" i="23"/>
  <c r="M245" i="23"/>
  <c r="O245" i="23"/>
  <c r="P245" i="23"/>
  <c r="Q245" i="23"/>
  <c r="R245" i="23"/>
  <c r="S245" i="23"/>
  <c r="T245" i="23"/>
  <c r="U245" i="23"/>
  <c r="V245" i="23"/>
  <c r="W245" i="23"/>
  <c r="X245" i="23"/>
  <c r="Y245" i="23"/>
  <c r="AA245" i="23"/>
  <c r="AB245" i="23"/>
  <c r="AC245" i="23"/>
  <c r="AD245" i="23"/>
  <c r="AE245" i="23"/>
  <c r="AF245" i="23"/>
  <c r="AG245" i="23"/>
  <c r="AG256" i="23" s="1"/>
  <c r="AH245" i="23"/>
  <c r="AI245" i="23"/>
  <c r="AJ245" i="23"/>
  <c r="AK245" i="23"/>
  <c r="AM245" i="23"/>
  <c r="AN245" i="23"/>
  <c r="AO245" i="23"/>
  <c r="AQ245" i="23"/>
  <c r="AR245" i="23"/>
  <c r="AS245" i="23"/>
  <c r="AT245" i="23"/>
  <c r="AV245" i="23"/>
  <c r="AW245" i="23"/>
  <c r="AX245" i="23"/>
  <c r="AZ245" i="23"/>
  <c r="BA245" i="23"/>
  <c r="BD245" i="23"/>
  <c r="BE245" i="23"/>
  <c r="BF245" i="23"/>
  <c r="BH245" i="23"/>
  <c r="BI245" i="23"/>
  <c r="BJ245" i="23"/>
  <c r="BK245" i="23"/>
  <c r="BL245" i="23"/>
  <c r="BM245" i="23"/>
  <c r="BN245" i="23"/>
  <c r="BO245" i="23"/>
  <c r="BP245" i="23"/>
  <c r="BQ245" i="23"/>
  <c r="BS245" i="23"/>
  <c r="BT245" i="23"/>
  <c r="BU245" i="23"/>
  <c r="BU256" i="23" s="1"/>
  <c r="BW245" i="23"/>
  <c r="BX245" i="23"/>
  <c r="BY245" i="23"/>
  <c r="BZ245" i="23"/>
  <c r="CA245" i="23"/>
  <c r="CB245" i="23"/>
  <c r="CC245" i="23"/>
  <c r="CE245" i="23"/>
  <c r="CF245" i="23"/>
  <c r="CG245" i="23"/>
  <c r="CH245" i="23"/>
  <c r="CI245" i="23"/>
  <c r="CI256" i="23" s="1"/>
  <c r="CJ245" i="23"/>
  <c r="CK245" i="23"/>
  <c r="CL245" i="23"/>
  <c r="CM245" i="23"/>
  <c r="CN245" i="23"/>
  <c r="CO245" i="23"/>
  <c r="CQ245" i="23"/>
  <c r="CR245" i="23"/>
  <c r="CS245" i="23"/>
  <c r="CT245" i="23"/>
  <c r="CU245" i="23"/>
  <c r="CV245" i="23"/>
  <c r="CW245" i="23"/>
  <c r="CY245" i="23"/>
  <c r="CZ245" i="23"/>
  <c r="DA245" i="23"/>
  <c r="DD245" i="23"/>
  <c r="DE245" i="23"/>
  <c r="DG245" i="23"/>
  <c r="DH245" i="23"/>
  <c r="DI245" i="23"/>
  <c r="DL245" i="23"/>
  <c r="DM245" i="23"/>
  <c r="DN245" i="23"/>
  <c r="DO245" i="23"/>
  <c r="DP245" i="23"/>
  <c r="DQ245" i="23"/>
  <c r="DR245" i="23"/>
  <c r="DS245" i="23"/>
  <c r="DT245" i="23"/>
  <c r="DU245" i="23"/>
  <c r="DV245" i="23"/>
  <c r="DW245" i="23"/>
  <c r="DX245" i="23"/>
  <c r="DY245" i="23"/>
  <c r="DZ245" i="23"/>
  <c r="EA245" i="23"/>
  <c r="EB245" i="23"/>
  <c r="EC245" i="23"/>
  <c r="ED245" i="23"/>
  <c r="EF245" i="23"/>
  <c r="EG245" i="23"/>
  <c r="EH245" i="23"/>
  <c r="C246" i="23"/>
  <c r="D246" i="23"/>
  <c r="E246" i="23"/>
  <c r="F246" i="23"/>
  <c r="G246" i="23"/>
  <c r="H246" i="23"/>
  <c r="I246" i="23"/>
  <c r="J246" i="23"/>
  <c r="K246" i="23"/>
  <c r="L246" i="23"/>
  <c r="M246" i="23"/>
  <c r="O246" i="23"/>
  <c r="P246" i="23"/>
  <c r="Q246" i="23"/>
  <c r="R246" i="23"/>
  <c r="S246" i="23"/>
  <c r="T246" i="23"/>
  <c r="U246" i="23"/>
  <c r="V246" i="23"/>
  <c r="W246" i="23"/>
  <c r="X246" i="23"/>
  <c r="Y246" i="23"/>
  <c r="AA246" i="23"/>
  <c r="AB246" i="23"/>
  <c r="AC246" i="23"/>
  <c r="AD246" i="23"/>
  <c r="AE246" i="23"/>
  <c r="AF246" i="23"/>
  <c r="AG246" i="23"/>
  <c r="AI246" i="23"/>
  <c r="AJ246" i="23"/>
  <c r="AK246" i="23"/>
  <c r="AM246" i="23"/>
  <c r="AN246" i="23"/>
  <c r="AO246" i="23"/>
  <c r="AP246" i="23"/>
  <c r="AQ246" i="23"/>
  <c r="AR246" i="23"/>
  <c r="AS246" i="23"/>
  <c r="AT246" i="23"/>
  <c r="AV246" i="23"/>
  <c r="AW246" i="23"/>
  <c r="AX246" i="23"/>
  <c r="AZ246" i="23"/>
  <c r="BA246" i="23"/>
  <c r="BD246" i="23"/>
  <c r="BE246" i="23"/>
  <c r="BG246" i="23"/>
  <c r="BH246" i="23"/>
  <c r="BI246" i="23"/>
  <c r="BJ246" i="23"/>
  <c r="BK246" i="23"/>
  <c r="BL246" i="23"/>
  <c r="BL256" i="23" s="1"/>
  <c r="BM246" i="23"/>
  <c r="BN246" i="23"/>
  <c r="BO246" i="23"/>
  <c r="BP246" i="23"/>
  <c r="BQ246" i="23"/>
  <c r="BR246" i="23"/>
  <c r="BS246" i="23"/>
  <c r="BT246" i="23"/>
  <c r="BU246" i="23"/>
  <c r="BW246" i="23"/>
  <c r="BX246" i="23"/>
  <c r="BY246" i="23"/>
  <c r="BZ246" i="23"/>
  <c r="CA246" i="23"/>
  <c r="CB246" i="23"/>
  <c r="CC246" i="23"/>
  <c r="CE246" i="23"/>
  <c r="CF246" i="23"/>
  <c r="CG246" i="23"/>
  <c r="CH246" i="23"/>
  <c r="CJ246" i="23"/>
  <c r="CK246" i="23"/>
  <c r="CL246" i="23"/>
  <c r="CM246" i="23"/>
  <c r="CN246" i="23"/>
  <c r="CO246" i="23"/>
  <c r="CP246" i="23"/>
  <c r="CQ246" i="23"/>
  <c r="CR246" i="23"/>
  <c r="CS246" i="23"/>
  <c r="CT246" i="23"/>
  <c r="CU246" i="23"/>
  <c r="CV246" i="23"/>
  <c r="CW246" i="23"/>
  <c r="CY246" i="23"/>
  <c r="CZ246" i="23"/>
  <c r="DA246" i="23"/>
  <c r="DC246" i="23"/>
  <c r="DD246" i="23"/>
  <c r="DE246" i="23"/>
  <c r="DF246" i="23"/>
  <c r="DG246" i="23"/>
  <c r="DH246" i="23"/>
  <c r="DI246" i="23"/>
  <c r="DL246" i="23"/>
  <c r="DM246" i="23"/>
  <c r="DN246" i="23"/>
  <c r="DO246" i="23"/>
  <c r="DP246" i="23"/>
  <c r="DQ246" i="23"/>
  <c r="DR246" i="23"/>
  <c r="DS246" i="23"/>
  <c r="DT246" i="23"/>
  <c r="DU246" i="23"/>
  <c r="DV246" i="23"/>
  <c r="DW246" i="23"/>
  <c r="DX246" i="23"/>
  <c r="DY246" i="23"/>
  <c r="DZ246" i="23"/>
  <c r="EA246" i="23"/>
  <c r="EA256" i="23" s="1"/>
  <c r="EB246" i="23"/>
  <c r="EC246" i="23"/>
  <c r="ED246" i="23"/>
  <c r="EF246" i="23"/>
  <c r="EG246" i="23"/>
  <c r="EH246" i="23"/>
  <c r="C247" i="23"/>
  <c r="D247" i="23"/>
  <c r="E247" i="23"/>
  <c r="F247" i="23"/>
  <c r="H247" i="23"/>
  <c r="I247" i="23"/>
  <c r="J247" i="23"/>
  <c r="K247" i="23"/>
  <c r="L247" i="23"/>
  <c r="M247" i="23"/>
  <c r="O247" i="23"/>
  <c r="P247" i="23"/>
  <c r="Q247" i="23"/>
  <c r="R247" i="23"/>
  <c r="S247" i="23"/>
  <c r="T247" i="23"/>
  <c r="U247" i="23"/>
  <c r="V247" i="23"/>
  <c r="W247" i="23"/>
  <c r="X247" i="23"/>
  <c r="Y247" i="23"/>
  <c r="AA247" i="23"/>
  <c r="AB247" i="23"/>
  <c r="AC247" i="23"/>
  <c r="AD247" i="23"/>
  <c r="AE247" i="23"/>
  <c r="AF247" i="23"/>
  <c r="AG247" i="23"/>
  <c r="AI247" i="23"/>
  <c r="AJ247" i="23"/>
  <c r="AK247" i="23"/>
  <c r="AM247" i="23"/>
  <c r="AN247" i="23"/>
  <c r="AO247" i="23"/>
  <c r="AQ247" i="23"/>
  <c r="AR247" i="23"/>
  <c r="AS247" i="23"/>
  <c r="AT247" i="23"/>
  <c r="AU247" i="23"/>
  <c r="AV247" i="23"/>
  <c r="AW247" i="23"/>
  <c r="AZ247" i="23"/>
  <c r="BA247" i="23"/>
  <c r="BD247" i="23"/>
  <c r="BE247" i="23"/>
  <c r="BF247" i="23"/>
  <c r="BH247" i="23"/>
  <c r="BI247" i="23"/>
  <c r="BJ247" i="23"/>
  <c r="BK247" i="23"/>
  <c r="BL247" i="23"/>
  <c r="BM247" i="23"/>
  <c r="BN247" i="23"/>
  <c r="BO247" i="23"/>
  <c r="BP247" i="23"/>
  <c r="BQ247" i="23"/>
  <c r="BS247" i="23"/>
  <c r="BT247" i="23"/>
  <c r="BU247" i="23"/>
  <c r="BW247" i="23"/>
  <c r="BX247" i="23"/>
  <c r="BY247" i="23"/>
  <c r="BZ247" i="23"/>
  <c r="CA247" i="23"/>
  <c r="CB247" i="23"/>
  <c r="CC247" i="23"/>
  <c r="CE247" i="23"/>
  <c r="CF247" i="23"/>
  <c r="CG247" i="23"/>
  <c r="CH247" i="23"/>
  <c r="CI247" i="23"/>
  <c r="CJ247" i="23"/>
  <c r="CK247" i="23"/>
  <c r="CL247" i="23"/>
  <c r="CM247" i="23"/>
  <c r="CN247" i="23"/>
  <c r="CO247" i="23"/>
  <c r="CP247" i="23"/>
  <c r="CQ247" i="23"/>
  <c r="CR247" i="23"/>
  <c r="CS247" i="23"/>
  <c r="CT247" i="23"/>
  <c r="CU247" i="23"/>
  <c r="CV247" i="23"/>
  <c r="CW247" i="23"/>
  <c r="CY247" i="23"/>
  <c r="CZ247" i="23"/>
  <c r="DA247" i="23"/>
  <c r="DD247" i="23"/>
  <c r="DE247" i="23"/>
  <c r="DH247" i="23"/>
  <c r="DI247" i="23"/>
  <c r="DL247" i="23"/>
  <c r="DM247" i="23"/>
  <c r="DN247" i="23"/>
  <c r="DO247" i="23"/>
  <c r="DP247" i="23"/>
  <c r="DQ247" i="23"/>
  <c r="DR247" i="23"/>
  <c r="DS247" i="23"/>
  <c r="DT247" i="23"/>
  <c r="DU247" i="23"/>
  <c r="DV247" i="23"/>
  <c r="DW247" i="23"/>
  <c r="DX247" i="23"/>
  <c r="DY247" i="23"/>
  <c r="DZ247" i="23"/>
  <c r="EA247" i="23"/>
  <c r="EB247" i="23"/>
  <c r="EC247" i="23"/>
  <c r="ED247" i="23"/>
  <c r="EF247" i="23"/>
  <c r="EG247" i="23"/>
  <c r="C248" i="23"/>
  <c r="D248" i="23"/>
  <c r="E248" i="23"/>
  <c r="F248" i="23"/>
  <c r="H248" i="23"/>
  <c r="I248" i="23"/>
  <c r="J248" i="23"/>
  <c r="K248" i="23"/>
  <c r="L248" i="23"/>
  <c r="M248" i="23"/>
  <c r="N248" i="23"/>
  <c r="O248" i="23"/>
  <c r="P248" i="23"/>
  <c r="Q248" i="23"/>
  <c r="R248" i="23"/>
  <c r="T248" i="23"/>
  <c r="U248" i="23"/>
  <c r="V248" i="23"/>
  <c r="W248" i="23"/>
  <c r="X248" i="23"/>
  <c r="Y248" i="23"/>
  <c r="AB248" i="23"/>
  <c r="AC248" i="23"/>
  <c r="AD248" i="23"/>
  <c r="AE248" i="23"/>
  <c r="AF248" i="23"/>
  <c r="AG248" i="23"/>
  <c r="AI248" i="23"/>
  <c r="AJ248" i="23"/>
  <c r="AK248" i="23"/>
  <c r="AL248" i="23"/>
  <c r="AN248" i="23"/>
  <c r="AO248" i="23"/>
  <c r="AP248" i="23"/>
  <c r="AQ248" i="23"/>
  <c r="AR248" i="23"/>
  <c r="AS248" i="23"/>
  <c r="AT248" i="23"/>
  <c r="AV248" i="23"/>
  <c r="AW248" i="23"/>
  <c r="AX248" i="23"/>
  <c r="AZ248" i="23"/>
  <c r="BA248" i="23"/>
  <c r="BD248" i="23"/>
  <c r="BE248" i="23"/>
  <c r="BF248" i="23"/>
  <c r="BG248" i="23"/>
  <c r="BH248" i="23"/>
  <c r="BI248" i="23"/>
  <c r="BJ248" i="23"/>
  <c r="BK248" i="23"/>
  <c r="BL248" i="23"/>
  <c r="BM248" i="23"/>
  <c r="BO248" i="23"/>
  <c r="BP248" i="23"/>
  <c r="BQ248" i="23"/>
  <c r="BR248" i="23"/>
  <c r="BS248" i="23"/>
  <c r="BT248" i="23"/>
  <c r="BU248" i="23"/>
  <c r="BV248" i="23"/>
  <c r="BW248" i="23"/>
  <c r="BX248" i="23"/>
  <c r="BY248" i="23"/>
  <c r="BZ248" i="23"/>
  <c r="CA248" i="23"/>
  <c r="CB248" i="23"/>
  <c r="CC248" i="23"/>
  <c r="CD248" i="23"/>
  <c r="CE248" i="23"/>
  <c r="CF248" i="23"/>
  <c r="CG248" i="23"/>
  <c r="CH248" i="23"/>
  <c r="CI248" i="23"/>
  <c r="CJ248" i="23"/>
  <c r="CK248" i="23"/>
  <c r="CL248" i="23"/>
  <c r="CM248" i="23"/>
  <c r="CN248" i="23"/>
  <c r="CO248" i="23"/>
  <c r="CP248" i="23"/>
  <c r="CQ248" i="23"/>
  <c r="CR248" i="23"/>
  <c r="CS248" i="23"/>
  <c r="CT248" i="23"/>
  <c r="CU248" i="23"/>
  <c r="CV248" i="23"/>
  <c r="CW248" i="23"/>
  <c r="CY248" i="23"/>
  <c r="CZ248" i="23"/>
  <c r="DA248" i="23"/>
  <c r="DD248" i="23"/>
  <c r="DE248" i="23"/>
  <c r="DF248" i="23"/>
  <c r="DG248" i="23"/>
  <c r="DH248" i="23"/>
  <c r="DI248" i="23"/>
  <c r="DJ248" i="23"/>
  <c r="DL248" i="23"/>
  <c r="DM248" i="23"/>
  <c r="DN248" i="23"/>
  <c r="DO248" i="23"/>
  <c r="DP248" i="23"/>
  <c r="DQ248" i="23"/>
  <c r="DR248" i="23"/>
  <c r="DS248" i="23"/>
  <c r="DT248" i="23"/>
  <c r="DU248" i="23"/>
  <c r="DV248" i="23"/>
  <c r="DW248" i="23"/>
  <c r="DX248" i="23"/>
  <c r="DY248" i="23"/>
  <c r="DZ248" i="23"/>
  <c r="EA248" i="23"/>
  <c r="EB248" i="23"/>
  <c r="EC248" i="23"/>
  <c r="ED248" i="23"/>
  <c r="EF248" i="23"/>
  <c r="EG248" i="23"/>
  <c r="C249" i="23"/>
  <c r="D249" i="23"/>
  <c r="E249" i="23"/>
  <c r="F249" i="23"/>
  <c r="G249" i="23"/>
  <c r="H249" i="23"/>
  <c r="I249" i="23"/>
  <c r="J249" i="23"/>
  <c r="K249" i="23"/>
  <c r="L249" i="23"/>
  <c r="M249" i="23"/>
  <c r="O249" i="23"/>
  <c r="P249" i="23"/>
  <c r="Q249" i="23"/>
  <c r="R249" i="23"/>
  <c r="T249" i="23"/>
  <c r="U249" i="23"/>
  <c r="V249" i="23"/>
  <c r="W249" i="23"/>
  <c r="X249" i="23"/>
  <c r="Y249" i="23"/>
  <c r="AA249" i="23"/>
  <c r="AB249" i="23"/>
  <c r="AC249" i="23"/>
  <c r="AD249" i="23"/>
  <c r="AE249" i="23"/>
  <c r="AF249" i="23"/>
  <c r="AG249" i="23"/>
  <c r="AI249" i="23"/>
  <c r="AJ249" i="23"/>
  <c r="AK249" i="23"/>
  <c r="AL249" i="23"/>
  <c r="AN249" i="23"/>
  <c r="AO249" i="23"/>
  <c r="AP249" i="23"/>
  <c r="AQ249" i="23"/>
  <c r="AR249" i="23"/>
  <c r="AS249" i="23"/>
  <c r="AT249" i="23"/>
  <c r="AV249" i="23"/>
  <c r="AW249" i="23"/>
  <c r="AX249" i="23"/>
  <c r="AZ249" i="23"/>
  <c r="BA249" i="23"/>
  <c r="BD249" i="23"/>
  <c r="BE249" i="23"/>
  <c r="BF249" i="23"/>
  <c r="BG249" i="23"/>
  <c r="BH249" i="23"/>
  <c r="BI249" i="23"/>
  <c r="BJ249" i="23"/>
  <c r="BK249" i="23"/>
  <c r="BL249" i="23"/>
  <c r="BM249" i="23"/>
  <c r="BO249" i="23"/>
  <c r="BP249" i="23"/>
  <c r="BQ249" i="23"/>
  <c r="BR249" i="23"/>
  <c r="BS249" i="23"/>
  <c r="BT249" i="23"/>
  <c r="BU249" i="23"/>
  <c r="BV249" i="23"/>
  <c r="BW249" i="23"/>
  <c r="BX249" i="23"/>
  <c r="BY249" i="23"/>
  <c r="BZ249" i="23"/>
  <c r="CA249" i="23"/>
  <c r="CB249" i="23"/>
  <c r="CC249" i="23"/>
  <c r="CD249" i="23"/>
  <c r="CE249" i="23"/>
  <c r="CF249" i="23"/>
  <c r="CG249" i="23"/>
  <c r="CH249" i="23"/>
  <c r="CJ249" i="23"/>
  <c r="CK249" i="23"/>
  <c r="CL249" i="23"/>
  <c r="CM249" i="23"/>
  <c r="CN249" i="23"/>
  <c r="CO249" i="23"/>
  <c r="CP249" i="23"/>
  <c r="CQ249" i="23"/>
  <c r="CR249" i="23"/>
  <c r="CS249" i="23"/>
  <c r="CT249" i="23"/>
  <c r="CU249" i="23"/>
  <c r="CV249" i="23"/>
  <c r="CW249" i="23"/>
  <c r="CY249" i="23"/>
  <c r="CZ249" i="23"/>
  <c r="DA249" i="23"/>
  <c r="DD249" i="23"/>
  <c r="DE249" i="23"/>
  <c r="DG249" i="23"/>
  <c r="DH249" i="23"/>
  <c r="DI249" i="23"/>
  <c r="DJ249" i="23"/>
  <c r="DL249" i="23"/>
  <c r="DM249" i="23"/>
  <c r="DN249" i="23"/>
  <c r="DO249" i="23"/>
  <c r="DP249" i="23"/>
  <c r="DQ249" i="23"/>
  <c r="DR249" i="23"/>
  <c r="DS249" i="23"/>
  <c r="DT249" i="23"/>
  <c r="DU249" i="23"/>
  <c r="DV249" i="23"/>
  <c r="DX249" i="23"/>
  <c r="DY249" i="23"/>
  <c r="DZ249" i="23"/>
  <c r="EA249" i="23"/>
  <c r="EB249" i="23"/>
  <c r="EC249" i="23"/>
  <c r="ED249" i="23"/>
  <c r="EF249" i="23"/>
  <c r="EG249" i="23"/>
  <c r="EI249" i="23"/>
  <c r="C250" i="23"/>
  <c r="D250" i="23"/>
  <c r="E250" i="23"/>
  <c r="F250" i="23"/>
  <c r="G250" i="23"/>
  <c r="H250" i="23"/>
  <c r="I250" i="23"/>
  <c r="J250" i="23"/>
  <c r="K250" i="23"/>
  <c r="L250" i="23"/>
  <c r="M250" i="23"/>
  <c r="N250" i="23"/>
  <c r="O250" i="23"/>
  <c r="P250" i="23"/>
  <c r="Q250" i="23"/>
  <c r="R250" i="23"/>
  <c r="T250" i="23"/>
  <c r="U250" i="23"/>
  <c r="V250" i="23"/>
  <c r="W250" i="23"/>
  <c r="X250" i="23"/>
  <c r="Y250" i="23"/>
  <c r="AA250" i="23"/>
  <c r="AB250" i="23"/>
  <c r="AC250" i="23"/>
  <c r="AE250" i="23"/>
  <c r="AF250" i="23"/>
  <c r="AG250" i="23"/>
  <c r="AJ250" i="23"/>
  <c r="AK250" i="23"/>
  <c r="AL250" i="23"/>
  <c r="AN250" i="23"/>
  <c r="AO250" i="23"/>
  <c r="AP250" i="23"/>
  <c r="AQ250" i="23"/>
  <c r="AR250" i="23"/>
  <c r="AR256" i="23" s="1"/>
  <c r="AS250" i="23"/>
  <c r="AT250" i="23"/>
  <c r="AV250" i="23"/>
  <c r="AW250" i="23"/>
  <c r="AX250" i="23"/>
  <c r="AZ250" i="23"/>
  <c r="BA250" i="23"/>
  <c r="BD250" i="23"/>
  <c r="BD256" i="23" s="1"/>
  <c r="BE250" i="23"/>
  <c r="BG250" i="23"/>
  <c r="BH250" i="23"/>
  <c r="BI250" i="23"/>
  <c r="BJ250" i="23"/>
  <c r="BK250" i="23"/>
  <c r="BL250" i="23"/>
  <c r="BM250" i="23"/>
  <c r="BO250" i="23"/>
  <c r="BP250" i="23"/>
  <c r="BQ250" i="23"/>
  <c r="BR250" i="23"/>
  <c r="BS250" i="23"/>
  <c r="BT250" i="23"/>
  <c r="BU250" i="23"/>
  <c r="BV250" i="23"/>
  <c r="BW250" i="23"/>
  <c r="BX250" i="23"/>
  <c r="BY250" i="23"/>
  <c r="BZ250" i="23"/>
  <c r="CA250" i="23"/>
  <c r="CB250" i="23"/>
  <c r="CC250" i="23"/>
  <c r="CD250" i="23"/>
  <c r="CE250" i="23"/>
  <c r="CF250" i="23"/>
  <c r="CG250" i="23"/>
  <c r="CH250" i="23"/>
  <c r="CJ250" i="23"/>
  <c r="CK250" i="23"/>
  <c r="CL250" i="23"/>
  <c r="CM250" i="23"/>
  <c r="CN250" i="23"/>
  <c r="CO250" i="23"/>
  <c r="CP250" i="23"/>
  <c r="CQ250" i="23"/>
  <c r="CR250" i="23"/>
  <c r="CS250" i="23"/>
  <c r="CT250" i="23"/>
  <c r="CU250" i="23"/>
  <c r="CV250" i="23"/>
  <c r="CW250" i="23"/>
  <c r="CY250" i="23"/>
  <c r="CZ250" i="23"/>
  <c r="DA250" i="23"/>
  <c r="DD250" i="23"/>
  <c r="DE250" i="23"/>
  <c r="DF250" i="23"/>
  <c r="DG250" i="23"/>
  <c r="DH250" i="23"/>
  <c r="DI250" i="23"/>
  <c r="DJ250" i="23"/>
  <c r="DL250" i="23"/>
  <c r="DM250" i="23"/>
  <c r="DN250" i="23"/>
  <c r="DO250" i="23"/>
  <c r="DP250" i="23"/>
  <c r="DQ250" i="23"/>
  <c r="DR250" i="23"/>
  <c r="DS250" i="23"/>
  <c r="DT250" i="23"/>
  <c r="DU250" i="23"/>
  <c r="DV250" i="23"/>
  <c r="DX250" i="23"/>
  <c r="DY250" i="23"/>
  <c r="EA250" i="23"/>
  <c r="EB250" i="23"/>
  <c r="EC250" i="23"/>
  <c r="ED250" i="23"/>
  <c r="EE250" i="23"/>
  <c r="EF250" i="23"/>
  <c r="EG250" i="23"/>
  <c r="C251" i="23"/>
  <c r="D251" i="23"/>
  <c r="E251" i="23"/>
  <c r="F251" i="23"/>
  <c r="G251" i="23"/>
  <c r="H251" i="23"/>
  <c r="I251" i="23"/>
  <c r="J251" i="23"/>
  <c r="K251" i="23"/>
  <c r="L251" i="23"/>
  <c r="M251" i="23"/>
  <c r="N251" i="23"/>
  <c r="O251" i="23"/>
  <c r="P251" i="23"/>
  <c r="Q251" i="23"/>
  <c r="R251" i="23"/>
  <c r="S251" i="23"/>
  <c r="T251" i="23"/>
  <c r="U251" i="23"/>
  <c r="V251" i="23"/>
  <c r="W251" i="23"/>
  <c r="X251" i="23"/>
  <c r="Y251" i="23"/>
  <c r="AA251" i="23"/>
  <c r="AB251" i="23"/>
  <c r="AC251" i="23"/>
  <c r="AE251" i="23"/>
  <c r="AF251" i="23"/>
  <c r="AG251" i="23"/>
  <c r="AJ251" i="23"/>
  <c r="AK251" i="23"/>
  <c r="AL251" i="23"/>
  <c r="AN251" i="23"/>
  <c r="AO251" i="23"/>
  <c r="AP251" i="23"/>
  <c r="AQ251" i="23"/>
  <c r="AR251" i="23"/>
  <c r="AS251" i="23"/>
  <c r="AU251" i="23"/>
  <c r="AV251" i="23"/>
  <c r="AW251" i="23"/>
  <c r="AX251" i="23"/>
  <c r="AY251" i="23"/>
  <c r="AZ251" i="23"/>
  <c r="BA251" i="23"/>
  <c r="BD251" i="23"/>
  <c r="BE251" i="23"/>
  <c r="BF251" i="23"/>
  <c r="BG251" i="23"/>
  <c r="BH251" i="23"/>
  <c r="BI251" i="23"/>
  <c r="BJ251" i="23"/>
  <c r="BK251" i="23"/>
  <c r="BL251" i="23"/>
  <c r="BM251" i="23"/>
  <c r="BP251" i="23"/>
  <c r="BQ251" i="23"/>
  <c r="BR251" i="23"/>
  <c r="BS251" i="23"/>
  <c r="BT251" i="23"/>
  <c r="BU251" i="23"/>
  <c r="BV251" i="23"/>
  <c r="BX251" i="23"/>
  <c r="BY251" i="23"/>
  <c r="BZ251" i="23"/>
  <c r="CA251" i="23"/>
  <c r="CB251" i="23"/>
  <c r="CC251" i="23"/>
  <c r="CD251" i="23"/>
  <c r="CF251" i="23"/>
  <c r="CG251" i="23"/>
  <c r="CH251" i="23"/>
  <c r="CI251" i="23"/>
  <c r="CJ251" i="23"/>
  <c r="CK251" i="23"/>
  <c r="CL251" i="23"/>
  <c r="CM251" i="23"/>
  <c r="CN251" i="23"/>
  <c r="CO251" i="23"/>
  <c r="CP251" i="23"/>
  <c r="CQ251" i="23"/>
  <c r="CR251" i="23"/>
  <c r="CS251" i="23"/>
  <c r="CT251" i="23"/>
  <c r="CU251" i="23"/>
  <c r="CV251" i="23"/>
  <c r="CW251" i="23"/>
  <c r="CX251" i="23"/>
  <c r="CY251" i="23"/>
  <c r="CZ251" i="23"/>
  <c r="DA251" i="23"/>
  <c r="DD251" i="23"/>
  <c r="DD256" i="23" s="1"/>
  <c r="DE251" i="23"/>
  <c r="DF251" i="23"/>
  <c r="DG251" i="23"/>
  <c r="DH251" i="23"/>
  <c r="DI251" i="23"/>
  <c r="DJ251" i="23"/>
  <c r="DL251" i="23"/>
  <c r="DM251" i="23"/>
  <c r="DN251" i="23"/>
  <c r="DO251" i="23"/>
  <c r="DP251" i="23"/>
  <c r="DQ251" i="23"/>
  <c r="DR251" i="23"/>
  <c r="DS251" i="23"/>
  <c r="DT251" i="23"/>
  <c r="DU251" i="23"/>
  <c r="DV251" i="23"/>
  <c r="DX251" i="23"/>
  <c r="DY251" i="23"/>
  <c r="EA251" i="23"/>
  <c r="EB251" i="23"/>
  <c r="EC251" i="23"/>
  <c r="ED251" i="23"/>
  <c r="EF251" i="23"/>
  <c r="EG251" i="23"/>
  <c r="C252" i="23"/>
  <c r="D252" i="23"/>
  <c r="E252" i="23"/>
  <c r="F252" i="23"/>
  <c r="G252" i="23"/>
  <c r="H252" i="23"/>
  <c r="I252" i="23"/>
  <c r="J252" i="23"/>
  <c r="K252" i="23"/>
  <c r="L252" i="23"/>
  <c r="M252" i="23"/>
  <c r="N252" i="23"/>
  <c r="O252" i="23"/>
  <c r="P252" i="23"/>
  <c r="Q252" i="23"/>
  <c r="R252" i="23"/>
  <c r="T252" i="23"/>
  <c r="U252" i="23"/>
  <c r="V252" i="23"/>
  <c r="W252" i="23"/>
  <c r="X252" i="23"/>
  <c r="Y252" i="23"/>
  <c r="AB252" i="23"/>
  <c r="AC252" i="23"/>
  <c r="AD252" i="23"/>
  <c r="AE252" i="23"/>
  <c r="AF252" i="23"/>
  <c r="AG252" i="23"/>
  <c r="AI252" i="23"/>
  <c r="AJ252" i="23"/>
  <c r="AK252" i="23"/>
  <c r="AL252" i="23"/>
  <c r="AN252" i="23"/>
  <c r="AO252" i="23"/>
  <c r="AP252" i="23"/>
  <c r="AQ252" i="23"/>
  <c r="AR252" i="23"/>
  <c r="AS252" i="23"/>
  <c r="AT252" i="23"/>
  <c r="AU252" i="23"/>
  <c r="AV252" i="23"/>
  <c r="AW252" i="23"/>
  <c r="AZ252" i="23"/>
  <c r="BA252" i="23"/>
  <c r="BD252" i="23"/>
  <c r="BE252" i="23"/>
  <c r="BF252" i="23"/>
  <c r="BG252" i="23"/>
  <c r="BH252" i="23"/>
  <c r="BI252" i="23"/>
  <c r="BJ252" i="23"/>
  <c r="BK252" i="23"/>
  <c r="BL252" i="23"/>
  <c r="BM252" i="23"/>
  <c r="BO252" i="23"/>
  <c r="BP252" i="23"/>
  <c r="BQ252" i="23"/>
  <c r="BR252" i="23"/>
  <c r="BS252" i="23"/>
  <c r="BT252" i="23"/>
  <c r="BU252" i="23"/>
  <c r="BV252" i="23"/>
  <c r="BW252" i="23"/>
  <c r="BX252" i="23"/>
  <c r="BY252" i="23"/>
  <c r="BZ252" i="23"/>
  <c r="CA252" i="23"/>
  <c r="CB252" i="23"/>
  <c r="CC252" i="23"/>
  <c r="CD252" i="23"/>
  <c r="CE252" i="23"/>
  <c r="CF252" i="23"/>
  <c r="CG252" i="23"/>
  <c r="CH252" i="23"/>
  <c r="CI252" i="23"/>
  <c r="CJ252" i="23"/>
  <c r="CK252" i="23"/>
  <c r="CL252" i="23"/>
  <c r="CM252" i="23"/>
  <c r="CN252" i="23"/>
  <c r="CO252" i="23"/>
  <c r="CP252" i="23"/>
  <c r="CQ252" i="23"/>
  <c r="CR252" i="23"/>
  <c r="CS252" i="23"/>
  <c r="CT252" i="23"/>
  <c r="CU252" i="23"/>
  <c r="CV252" i="23"/>
  <c r="CW252" i="23"/>
  <c r="CX252" i="23"/>
  <c r="CY252" i="23"/>
  <c r="CZ252" i="23"/>
  <c r="DA252" i="23"/>
  <c r="DD252" i="23"/>
  <c r="DE252" i="23"/>
  <c r="DF252" i="23"/>
  <c r="DH252" i="23"/>
  <c r="DI252" i="23"/>
  <c r="DJ252" i="23"/>
  <c r="DL252" i="23"/>
  <c r="DM252" i="23"/>
  <c r="DN252" i="23"/>
  <c r="DO252" i="23"/>
  <c r="DP252" i="23"/>
  <c r="DQ252" i="23"/>
  <c r="DR252" i="23"/>
  <c r="DS252" i="23"/>
  <c r="DT252" i="23"/>
  <c r="DU252" i="23"/>
  <c r="DV252" i="23"/>
  <c r="DX252" i="23"/>
  <c r="DY252" i="23"/>
  <c r="DZ252" i="23"/>
  <c r="EA252" i="23"/>
  <c r="EB252" i="23"/>
  <c r="EC252" i="23"/>
  <c r="ED252" i="23"/>
  <c r="EF252" i="23"/>
  <c r="EG252" i="23"/>
  <c r="C253" i="23"/>
  <c r="D253" i="23"/>
  <c r="E253" i="23"/>
  <c r="G253" i="23"/>
  <c r="H253" i="23"/>
  <c r="I253" i="23"/>
  <c r="K253" i="23"/>
  <c r="L253" i="23"/>
  <c r="L256" i="23" s="1"/>
  <c r="M253" i="23"/>
  <c r="N253" i="23"/>
  <c r="O253" i="23"/>
  <c r="P253" i="23"/>
  <c r="Q253" i="23"/>
  <c r="R253" i="23"/>
  <c r="S253" i="23"/>
  <c r="T253" i="23"/>
  <c r="T256" i="23" s="1"/>
  <c r="U253" i="23"/>
  <c r="V253" i="23"/>
  <c r="W253" i="23"/>
  <c r="X253" i="23"/>
  <c r="Y253" i="23"/>
  <c r="Z253" i="23"/>
  <c r="AA253" i="23"/>
  <c r="AB253" i="23"/>
  <c r="AC253" i="23"/>
  <c r="AD253" i="23"/>
  <c r="AE253" i="23"/>
  <c r="AF253" i="23"/>
  <c r="AG253" i="23"/>
  <c r="AI253" i="23"/>
  <c r="AJ253" i="23"/>
  <c r="AK253" i="23"/>
  <c r="AL253" i="23"/>
  <c r="AM253" i="23"/>
  <c r="AN253" i="23"/>
  <c r="AO253" i="23"/>
  <c r="AP253" i="23"/>
  <c r="AQ253" i="23"/>
  <c r="AR253" i="23"/>
  <c r="AS253" i="23"/>
  <c r="AT253" i="23"/>
  <c r="AV253" i="23"/>
  <c r="AW253" i="23"/>
  <c r="AX253" i="23"/>
  <c r="AZ253" i="23"/>
  <c r="BA253" i="23"/>
  <c r="BD253" i="23"/>
  <c r="BE253" i="23"/>
  <c r="BG253" i="23"/>
  <c r="BH253" i="23"/>
  <c r="BI253" i="23"/>
  <c r="BJ253" i="23"/>
  <c r="BL253" i="23"/>
  <c r="BM253" i="23"/>
  <c r="BN253" i="23"/>
  <c r="BO253" i="23"/>
  <c r="BP253" i="23"/>
  <c r="BQ253" i="23"/>
  <c r="BS253" i="23"/>
  <c r="BT253" i="23"/>
  <c r="BU253" i="23"/>
  <c r="BV253" i="23"/>
  <c r="BW253" i="23"/>
  <c r="BX253" i="23"/>
  <c r="BY253" i="23"/>
  <c r="BZ253" i="23"/>
  <c r="CA253" i="23"/>
  <c r="CB253" i="23"/>
  <c r="CB256" i="23" s="1"/>
  <c r="CC253" i="23"/>
  <c r="CD253" i="23"/>
  <c r="CE253" i="23"/>
  <c r="CF253" i="23"/>
  <c r="CG253" i="23"/>
  <c r="CH253" i="23"/>
  <c r="CI253" i="23"/>
  <c r="CJ253" i="23"/>
  <c r="CK253" i="23"/>
  <c r="CM253" i="23"/>
  <c r="CN253" i="23"/>
  <c r="CO253" i="23"/>
  <c r="CP253" i="23"/>
  <c r="CQ253" i="23"/>
  <c r="CR253" i="23"/>
  <c r="CS253" i="23"/>
  <c r="CV253" i="23"/>
  <c r="CW253" i="23"/>
  <c r="CX253" i="23"/>
  <c r="CZ253" i="23"/>
  <c r="DA253" i="23"/>
  <c r="DC253" i="23"/>
  <c r="DD253" i="23"/>
  <c r="DE253" i="23"/>
  <c r="DE256" i="23" s="1"/>
  <c r="DF253" i="23"/>
  <c r="DG253" i="23"/>
  <c r="DH253" i="23"/>
  <c r="DI253" i="23"/>
  <c r="DJ253" i="23"/>
  <c r="DK253" i="23"/>
  <c r="DL253" i="23"/>
  <c r="DM253" i="23"/>
  <c r="DN253" i="23"/>
  <c r="DO253" i="23"/>
  <c r="DP253" i="23"/>
  <c r="DQ253" i="23"/>
  <c r="DR253" i="23"/>
  <c r="DS253" i="23"/>
  <c r="DT253" i="23"/>
  <c r="DU253" i="23"/>
  <c r="DV253" i="23"/>
  <c r="DW253" i="23"/>
  <c r="DX253" i="23"/>
  <c r="DY253" i="23"/>
  <c r="DZ253" i="23"/>
  <c r="EA253" i="23"/>
  <c r="EB253" i="23"/>
  <c r="EC253" i="23"/>
  <c r="ED253" i="23"/>
  <c r="EE253" i="23"/>
  <c r="EF253" i="23"/>
  <c r="EG253" i="23"/>
  <c r="EH253" i="23"/>
  <c r="EI253" i="23"/>
  <c r="C254" i="23"/>
  <c r="D254" i="23"/>
  <c r="D256" i="23" s="1"/>
  <c r="E254" i="23"/>
  <c r="F254" i="23"/>
  <c r="H254" i="23"/>
  <c r="I254" i="23"/>
  <c r="J254" i="23"/>
  <c r="K254" i="23"/>
  <c r="L254" i="23"/>
  <c r="M254" i="23"/>
  <c r="N254" i="23"/>
  <c r="O254" i="23"/>
  <c r="P254" i="23"/>
  <c r="Q254" i="23"/>
  <c r="R254" i="23"/>
  <c r="S254" i="23"/>
  <c r="T254" i="23"/>
  <c r="U254" i="23"/>
  <c r="V254" i="23"/>
  <c r="W254" i="23"/>
  <c r="X254" i="23"/>
  <c r="Y254" i="23"/>
  <c r="AA254" i="23"/>
  <c r="AB254" i="23"/>
  <c r="AC254" i="23"/>
  <c r="AD254" i="23"/>
  <c r="AE254" i="23"/>
  <c r="AF254" i="23"/>
  <c r="AG254" i="23"/>
  <c r="AI254" i="23"/>
  <c r="AI256" i="23" s="1"/>
  <c r="AJ254" i="23"/>
  <c r="AK254" i="23"/>
  <c r="AL254" i="23"/>
  <c r="AM254" i="23"/>
  <c r="AN254" i="23"/>
  <c r="AO254" i="23"/>
  <c r="AP254" i="23"/>
  <c r="AQ254" i="23"/>
  <c r="AR254" i="23"/>
  <c r="AS254" i="23"/>
  <c r="AT254" i="23"/>
  <c r="AU254" i="23"/>
  <c r="AV254" i="23"/>
  <c r="AW254" i="23"/>
  <c r="AZ254" i="23"/>
  <c r="BA254" i="23"/>
  <c r="BD254" i="23"/>
  <c r="BE254" i="23"/>
  <c r="BF254" i="23"/>
  <c r="BG254" i="23"/>
  <c r="BH254" i="23"/>
  <c r="BI254" i="23"/>
  <c r="BJ254" i="23"/>
  <c r="BK254" i="23"/>
  <c r="BL254" i="23"/>
  <c r="BM254" i="23"/>
  <c r="BN254" i="23"/>
  <c r="BP254" i="23"/>
  <c r="BQ254" i="23"/>
  <c r="BR254" i="23"/>
  <c r="BS254" i="23"/>
  <c r="BT254" i="23"/>
  <c r="BU254" i="23"/>
  <c r="BV254" i="23"/>
  <c r="BX254" i="23"/>
  <c r="BY254" i="23"/>
  <c r="BZ254" i="23"/>
  <c r="CA254" i="23"/>
  <c r="CB254" i="23"/>
  <c r="CC254" i="23"/>
  <c r="CD254" i="23"/>
  <c r="CF254" i="23"/>
  <c r="CG254" i="23"/>
  <c r="CH254" i="23"/>
  <c r="CI254" i="23"/>
  <c r="CJ254" i="23"/>
  <c r="CK254" i="23"/>
  <c r="CL254" i="23"/>
  <c r="CM254" i="23"/>
  <c r="CN254" i="23"/>
  <c r="CO254" i="23"/>
  <c r="CP254" i="23"/>
  <c r="CQ254" i="23"/>
  <c r="CR254" i="23"/>
  <c r="CS254" i="23"/>
  <c r="CT254" i="23"/>
  <c r="CU254" i="23"/>
  <c r="CV254" i="23"/>
  <c r="CW254" i="23"/>
  <c r="CX254" i="23"/>
  <c r="CY254" i="23"/>
  <c r="CZ254" i="23"/>
  <c r="DA254" i="23"/>
  <c r="DB254" i="23"/>
  <c r="DD254" i="23"/>
  <c r="DE254" i="23"/>
  <c r="DF254" i="23"/>
  <c r="DG254" i="23"/>
  <c r="DH254" i="23"/>
  <c r="DI254" i="23"/>
  <c r="DJ254" i="23"/>
  <c r="DL254" i="23"/>
  <c r="DL256" i="23" s="1"/>
  <c r="DM254" i="23"/>
  <c r="DN254" i="23"/>
  <c r="DO254" i="23"/>
  <c r="DP254" i="23"/>
  <c r="DQ254" i="23"/>
  <c r="DR254" i="23"/>
  <c r="DS254" i="23"/>
  <c r="DT254" i="23"/>
  <c r="DU254" i="23"/>
  <c r="DV254" i="23"/>
  <c r="DW254" i="23"/>
  <c r="DX254" i="23"/>
  <c r="DY254" i="23"/>
  <c r="DZ254" i="23"/>
  <c r="EA254" i="23"/>
  <c r="EB254" i="23"/>
  <c r="EC254" i="23"/>
  <c r="ED254" i="23"/>
  <c r="EE254" i="23"/>
  <c r="EF254" i="23"/>
  <c r="EG254" i="23"/>
  <c r="EH254" i="23"/>
  <c r="EI254" i="23"/>
  <c r="C255" i="23"/>
  <c r="D255" i="23"/>
  <c r="E255" i="23"/>
  <c r="F255" i="23"/>
  <c r="G255" i="23"/>
  <c r="H255" i="23"/>
  <c r="I255" i="23"/>
  <c r="J255" i="23"/>
  <c r="K255" i="23"/>
  <c r="L255" i="23"/>
  <c r="M255" i="23"/>
  <c r="P255" i="23"/>
  <c r="Q255" i="23"/>
  <c r="R255" i="23"/>
  <c r="S255" i="23"/>
  <c r="T255" i="23"/>
  <c r="U255" i="23"/>
  <c r="U256" i="23" s="1"/>
  <c r="X255" i="23"/>
  <c r="Y255" i="23"/>
  <c r="Z255" i="23"/>
  <c r="AA255" i="23"/>
  <c r="AB255" i="23"/>
  <c r="AC255" i="23"/>
  <c r="AD255" i="23"/>
  <c r="AF255" i="23"/>
  <c r="AG255" i="23"/>
  <c r="AI255" i="23"/>
  <c r="AJ255" i="23"/>
  <c r="AK255" i="23"/>
  <c r="AL255" i="23"/>
  <c r="AM255" i="23"/>
  <c r="AN255" i="23"/>
  <c r="AO255" i="23"/>
  <c r="AO256" i="23" s="1"/>
  <c r="AP255" i="23"/>
  <c r="AQ255" i="23"/>
  <c r="AR255" i="23"/>
  <c r="AS255" i="23"/>
  <c r="AT255" i="23"/>
  <c r="AU255" i="23"/>
  <c r="AV255" i="23"/>
  <c r="AW255" i="23"/>
  <c r="AW256" i="23" s="1"/>
  <c r="AX255" i="23"/>
  <c r="AY255" i="23"/>
  <c r="AZ255" i="23"/>
  <c r="BA255" i="23"/>
  <c r="BB255" i="23"/>
  <c r="BC255" i="23"/>
  <c r="BD255" i="23"/>
  <c r="BE255" i="23"/>
  <c r="BF255" i="23"/>
  <c r="BG255" i="23"/>
  <c r="BH255" i="23"/>
  <c r="BI255" i="23"/>
  <c r="BK255" i="23"/>
  <c r="BL255" i="23"/>
  <c r="BM255" i="23"/>
  <c r="BN255" i="23"/>
  <c r="BO255" i="23"/>
  <c r="BP255" i="23"/>
  <c r="BQ255" i="23"/>
  <c r="BR255" i="23"/>
  <c r="BS255" i="23"/>
  <c r="BT255" i="23"/>
  <c r="BU255" i="23"/>
  <c r="BV255" i="23"/>
  <c r="BW255" i="23"/>
  <c r="BX255" i="23"/>
  <c r="BY255" i="23"/>
  <c r="CA255" i="23"/>
  <c r="CB255" i="23"/>
  <c r="CC255" i="23"/>
  <c r="CD255" i="23"/>
  <c r="CE255" i="23"/>
  <c r="CF255" i="23"/>
  <c r="CG255" i="23"/>
  <c r="CJ255" i="23"/>
  <c r="CK255" i="23"/>
  <c r="CL255" i="23"/>
  <c r="CM255" i="23"/>
  <c r="CN255" i="23"/>
  <c r="CO255" i="23"/>
  <c r="CP255" i="23"/>
  <c r="CR255" i="23"/>
  <c r="CS255" i="23"/>
  <c r="CT255" i="23"/>
  <c r="CV255" i="23"/>
  <c r="CW255" i="23"/>
  <c r="CX255" i="23"/>
  <c r="CY255" i="23"/>
  <c r="CZ255" i="23"/>
  <c r="DA255" i="23"/>
  <c r="DB255" i="23"/>
  <c r="DC255" i="23"/>
  <c r="DD255" i="23"/>
  <c r="DE255" i="23"/>
  <c r="DF255" i="23"/>
  <c r="DG255" i="23"/>
  <c r="DH255" i="23"/>
  <c r="DI255" i="23"/>
  <c r="DJ255" i="23"/>
  <c r="DK255" i="23"/>
  <c r="DL255" i="23"/>
  <c r="DM255" i="23"/>
  <c r="DO255" i="23"/>
  <c r="DP255" i="23"/>
  <c r="DQ255" i="23"/>
  <c r="DR255" i="23"/>
  <c r="DS255" i="23"/>
  <c r="DT255" i="23"/>
  <c r="DU255" i="23"/>
  <c r="DW255" i="23"/>
  <c r="DX255" i="23"/>
  <c r="DY255" i="23"/>
  <c r="DZ255" i="23"/>
  <c r="EA255" i="23"/>
  <c r="EB255" i="23"/>
  <c r="EC255" i="23"/>
  <c r="ED255" i="23"/>
  <c r="EE255" i="23"/>
  <c r="EF255" i="23"/>
  <c r="EG255" i="23"/>
  <c r="EH255" i="23"/>
  <c r="EI255" i="23"/>
  <c r="F259" i="23"/>
  <c r="AE265" i="23"/>
  <c r="AE266" i="23"/>
  <c r="AI277" i="23" s="1"/>
  <c r="G267" i="23"/>
  <c r="K267" i="23"/>
  <c r="L267" i="23"/>
  <c r="P267" i="23"/>
  <c r="U267" i="23"/>
  <c r="Z267" i="23"/>
  <c r="AD267" i="23"/>
  <c r="AE267" i="23"/>
  <c r="AH267" i="23" s="1"/>
  <c r="AJ267" i="23"/>
  <c r="E268" i="23"/>
  <c r="G268" i="23"/>
  <c r="K322" i="23" s="1"/>
  <c r="I268" i="23"/>
  <c r="K268" i="23" s="1"/>
  <c r="N268" i="23"/>
  <c r="P268" i="23"/>
  <c r="Q268" i="23" s="1"/>
  <c r="S268" i="23"/>
  <c r="U268" i="23" s="1"/>
  <c r="X268" i="23"/>
  <c r="Z268" i="23" s="1"/>
  <c r="AB268" i="23"/>
  <c r="AE268" i="23"/>
  <c r="E269" i="23"/>
  <c r="G269" i="23" s="1"/>
  <c r="I269" i="23"/>
  <c r="K269" i="23" s="1"/>
  <c r="N269" i="23"/>
  <c r="P269" i="23"/>
  <c r="Q269" i="23" s="1"/>
  <c r="S269" i="23"/>
  <c r="U269" i="23" s="1"/>
  <c r="X269" i="23"/>
  <c r="Z269" i="23" s="1"/>
  <c r="AB269" i="23"/>
  <c r="AD269" i="23"/>
  <c r="AE269" i="23"/>
  <c r="E270" i="23"/>
  <c r="G270" i="23" s="1"/>
  <c r="I270" i="23"/>
  <c r="K270" i="23" s="1"/>
  <c r="L270" i="23" s="1"/>
  <c r="N270" i="23"/>
  <c r="P270" i="23" s="1"/>
  <c r="Q270" i="23" s="1"/>
  <c r="S270" i="23"/>
  <c r="U270" i="23" s="1"/>
  <c r="X270" i="23"/>
  <c r="Z270" i="23" s="1"/>
  <c r="AB270" i="23"/>
  <c r="AD270" i="23" s="1"/>
  <c r="AE270" i="23"/>
  <c r="E271" i="23"/>
  <c r="G271" i="23" s="1"/>
  <c r="I271" i="23"/>
  <c r="K271" i="23"/>
  <c r="L271" i="23"/>
  <c r="N271" i="23"/>
  <c r="P271" i="23" s="1"/>
  <c r="Q271" i="23" s="1"/>
  <c r="S271" i="23"/>
  <c r="U271" i="23"/>
  <c r="V271" i="23" s="1"/>
  <c r="X271" i="23"/>
  <c r="Z271" i="23" s="1"/>
  <c r="AB271" i="23"/>
  <c r="AD271" i="23" s="1"/>
  <c r="AE271" i="23"/>
  <c r="E272" i="23"/>
  <c r="G272" i="23" s="1"/>
  <c r="I272" i="23"/>
  <c r="K272" i="23"/>
  <c r="N272" i="23"/>
  <c r="P272" i="23" s="1"/>
  <c r="Q272" i="23" s="1"/>
  <c r="S272" i="23"/>
  <c r="U272" i="23"/>
  <c r="V272" i="23" s="1"/>
  <c r="X272" i="23"/>
  <c r="Z272" i="23" s="1"/>
  <c r="AB272" i="23"/>
  <c r="AD272" i="23" s="1"/>
  <c r="AE272" i="23"/>
  <c r="E273" i="23"/>
  <c r="G273" i="23" s="1"/>
  <c r="I273" i="23"/>
  <c r="K273" i="23" s="1"/>
  <c r="L273" i="23"/>
  <c r="N273" i="23"/>
  <c r="P273" i="23" s="1"/>
  <c r="S273" i="23"/>
  <c r="U273" i="23"/>
  <c r="V273" i="23" s="1"/>
  <c r="X273" i="23"/>
  <c r="Z273" i="23" s="1"/>
  <c r="AB273" i="23"/>
  <c r="AD273" i="23"/>
  <c r="AE273" i="23"/>
  <c r="AJ273" i="23" s="1"/>
  <c r="E274" i="23"/>
  <c r="G274" i="23" s="1"/>
  <c r="I274" i="23"/>
  <c r="K274" i="23" s="1"/>
  <c r="N274" i="23"/>
  <c r="P274" i="23" s="1"/>
  <c r="Q274" i="23" s="1"/>
  <c r="S274" i="23"/>
  <c r="U274" i="23" s="1"/>
  <c r="V274" i="23"/>
  <c r="X274" i="23"/>
  <c r="Z274" i="23" s="1"/>
  <c r="AB274" i="23"/>
  <c r="AD274" i="23"/>
  <c r="AE274" i="23"/>
  <c r="E275" i="23"/>
  <c r="G275" i="23" s="1"/>
  <c r="I275" i="23"/>
  <c r="K275" i="23"/>
  <c r="N275" i="23"/>
  <c r="P275" i="23" s="1"/>
  <c r="Q275" i="23" s="1"/>
  <c r="S275" i="23"/>
  <c r="U275" i="23" s="1"/>
  <c r="V275" i="23" s="1"/>
  <c r="X275" i="23"/>
  <c r="Z275" i="23" s="1"/>
  <c r="AB275" i="23"/>
  <c r="AD275" i="23" s="1"/>
  <c r="AE275" i="23"/>
  <c r="E276" i="23"/>
  <c r="G276" i="23" s="1"/>
  <c r="I276" i="23"/>
  <c r="K276" i="23" s="1"/>
  <c r="L276" i="23" s="1"/>
  <c r="N276" i="23"/>
  <c r="P276" i="23" s="1"/>
  <c r="S276" i="23"/>
  <c r="U276" i="23"/>
  <c r="X276" i="23"/>
  <c r="Z276" i="23" s="1"/>
  <c r="AB276" i="23"/>
  <c r="AD276" i="23" s="1"/>
  <c r="AE276" i="23"/>
  <c r="E277" i="23"/>
  <c r="G277" i="23" s="1"/>
  <c r="I277" i="23"/>
  <c r="K277" i="23"/>
  <c r="L277" i="23" s="1"/>
  <c r="N277" i="23"/>
  <c r="P277" i="23" s="1"/>
  <c r="S277" i="23"/>
  <c r="U277" i="23"/>
  <c r="X277" i="23"/>
  <c r="Z277" i="23" s="1"/>
  <c r="AB277" i="23"/>
  <c r="AD277" i="23"/>
  <c r="AE277" i="23"/>
  <c r="E278" i="23"/>
  <c r="G278" i="23" s="1"/>
  <c r="I278" i="23"/>
  <c r="K278" i="23" s="1"/>
  <c r="N278" i="23"/>
  <c r="P278" i="23" s="1"/>
  <c r="Q278" i="23" s="1"/>
  <c r="S278" i="23"/>
  <c r="U278" i="23" s="1"/>
  <c r="V278" i="23" s="1"/>
  <c r="X278" i="23"/>
  <c r="Z278" i="23" s="1"/>
  <c r="AB278" i="23"/>
  <c r="AD278" i="23"/>
  <c r="AE278" i="23"/>
  <c r="E279" i="23"/>
  <c r="G279" i="23" s="1"/>
  <c r="I279" i="23"/>
  <c r="K279" i="23" s="1"/>
  <c r="L279" i="23" s="1"/>
  <c r="N279" i="23"/>
  <c r="P279" i="23" s="1"/>
  <c r="Q279" i="23" s="1"/>
  <c r="S279" i="23"/>
  <c r="U279" i="23" s="1"/>
  <c r="X279" i="23"/>
  <c r="Z279" i="23" s="1"/>
  <c r="AB279" i="23"/>
  <c r="AD279" i="23" s="1"/>
  <c r="AE279" i="23"/>
  <c r="E280" i="23"/>
  <c r="G280" i="23"/>
  <c r="I280" i="23"/>
  <c r="K280" i="23" s="1"/>
  <c r="L280" i="23" s="1"/>
  <c r="N280" i="23"/>
  <c r="P280" i="23"/>
  <c r="Q280" i="23" s="1"/>
  <c r="S280" i="23"/>
  <c r="X280" i="23"/>
  <c r="Z280" i="23" s="1"/>
  <c r="AB280" i="23"/>
  <c r="AD280" i="23"/>
  <c r="AE280" i="23"/>
  <c r="E281" i="23"/>
  <c r="G281" i="23" s="1"/>
  <c r="I281" i="23"/>
  <c r="K281" i="23" s="1"/>
  <c r="L281" i="23" s="1"/>
  <c r="N281" i="23"/>
  <c r="P281" i="23" s="1"/>
  <c r="Q281" i="23" s="1"/>
  <c r="S281" i="23"/>
  <c r="U281" i="23" s="1"/>
  <c r="X281" i="23"/>
  <c r="Z281" i="23"/>
  <c r="AB281" i="23"/>
  <c r="AD281" i="23" s="1"/>
  <c r="AE281" i="23"/>
  <c r="AI281" i="23"/>
  <c r="AJ281" i="23" s="1"/>
  <c r="E282" i="23"/>
  <c r="G282" i="23" s="1"/>
  <c r="I282" i="23"/>
  <c r="K282" i="23"/>
  <c r="L282" i="23" s="1"/>
  <c r="N282" i="23"/>
  <c r="P282" i="23" s="1"/>
  <c r="Q282" i="23" s="1"/>
  <c r="S282" i="23"/>
  <c r="U282" i="23" s="1"/>
  <c r="X282" i="23"/>
  <c r="Z282" i="23" s="1"/>
  <c r="AB282" i="23"/>
  <c r="AD282" i="23"/>
  <c r="AE282" i="23"/>
  <c r="E283" i="23"/>
  <c r="G283" i="23" s="1"/>
  <c r="I283" i="23"/>
  <c r="K283" i="23" s="1"/>
  <c r="N283" i="23"/>
  <c r="P283" i="23"/>
  <c r="S283" i="23"/>
  <c r="U283" i="23" s="1"/>
  <c r="X283" i="23"/>
  <c r="Z283" i="23"/>
  <c r="AB283" i="23"/>
  <c r="AD283" i="23" s="1"/>
  <c r="AE283" i="23"/>
  <c r="E284" i="23"/>
  <c r="G284" i="23" s="1"/>
  <c r="I284" i="23"/>
  <c r="K284" i="23" s="1"/>
  <c r="L284" i="23" s="1"/>
  <c r="N284" i="23"/>
  <c r="P284" i="23" s="1"/>
  <c r="S284" i="23"/>
  <c r="U284" i="23"/>
  <c r="V284" i="23" s="1"/>
  <c r="X284" i="23"/>
  <c r="Z284" i="23" s="1"/>
  <c r="AB284" i="23"/>
  <c r="AD284" i="23" s="1"/>
  <c r="AE284" i="23"/>
  <c r="D286" i="23"/>
  <c r="H286" i="23"/>
  <c r="M286" i="23"/>
  <c r="R286" i="23"/>
  <c r="W286" i="23"/>
  <c r="AA286" i="23"/>
  <c r="AF286" i="23"/>
  <c r="AD293" i="23"/>
  <c r="G294" i="23"/>
  <c r="K294" i="23"/>
  <c r="O294" i="23"/>
  <c r="S294" i="23"/>
  <c r="W294" i="23"/>
  <c r="AA294" i="23"/>
  <c r="AE294" i="23"/>
  <c r="AG294" i="23" s="1"/>
  <c r="E295" i="23"/>
  <c r="G295" i="23"/>
  <c r="I295" i="23"/>
  <c r="K295" i="23" s="1"/>
  <c r="M295" i="23"/>
  <c r="O295" i="23"/>
  <c r="Q295" i="23"/>
  <c r="S295" i="23" s="1"/>
  <c r="S313" i="23" s="1"/>
  <c r="U295" i="23"/>
  <c r="W295" i="23"/>
  <c r="Y295" i="23"/>
  <c r="AA295" i="23" s="1"/>
  <c r="AD295" i="23"/>
  <c r="AF295" i="23"/>
  <c r="AG295" i="23" s="1"/>
  <c r="E296" i="23"/>
  <c r="G296" i="23" s="1"/>
  <c r="I296" i="23"/>
  <c r="K296" i="23" s="1"/>
  <c r="M296" i="23"/>
  <c r="O296" i="23" s="1"/>
  <c r="Q296" i="23"/>
  <c r="S296" i="23" s="1"/>
  <c r="U296" i="23"/>
  <c r="W296" i="23" s="1"/>
  <c r="Y296" i="23"/>
  <c r="AA296" i="23" s="1"/>
  <c r="AD296" i="23"/>
  <c r="AF296" i="23"/>
  <c r="AG296" i="23" s="1"/>
  <c r="E297" i="23"/>
  <c r="G297" i="23"/>
  <c r="I297" i="23"/>
  <c r="M297" i="23"/>
  <c r="O297" i="23"/>
  <c r="Q297" i="23"/>
  <c r="S297" i="23" s="1"/>
  <c r="U297" i="23"/>
  <c r="W297" i="23"/>
  <c r="Y297" i="23"/>
  <c r="AD297" i="23"/>
  <c r="AF297" i="23"/>
  <c r="AG297" i="23" s="1"/>
  <c r="E298" i="23"/>
  <c r="G298" i="23" s="1"/>
  <c r="I298" i="23"/>
  <c r="K298" i="23" s="1"/>
  <c r="M298" i="23"/>
  <c r="O298" i="23" s="1"/>
  <c r="Q298" i="23"/>
  <c r="S298" i="23" s="1"/>
  <c r="U298" i="23"/>
  <c r="W298" i="23" s="1"/>
  <c r="Y298" i="23"/>
  <c r="AA298" i="23" s="1"/>
  <c r="AD298" i="23"/>
  <c r="AF298" i="23"/>
  <c r="AG298" i="23"/>
  <c r="E299" i="23"/>
  <c r="G299" i="23" s="1"/>
  <c r="I299" i="23"/>
  <c r="K299" i="23"/>
  <c r="M299" i="23"/>
  <c r="O299" i="23" s="1"/>
  <c r="Q299" i="23"/>
  <c r="S299" i="23"/>
  <c r="U299" i="23"/>
  <c r="W299" i="23" s="1"/>
  <c r="Y299" i="23"/>
  <c r="AA299" i="23"/>
  <c r="AD299" i="23"/>
  <c r="AF299" i="23"/>
  <c r="AG299" i="23" s="1"/>
  <c r="E300" i="23"/>
  <c r="G300" i="23" s="1"/>
  <c r="I300" i="23"/>
  <c r="K300" i="23" s="1"/>
  <c r="M300" i="23"/>
  <c r="O300" i="23" s="1"/>
  <c r="Q300" i="23"/>
  <c r="S300" i="23" s="1"/>
  <c r="U300" i="23"/>
  <c r="W300" i="23" s="1"/>
  <c r="Y300" i="23"/>
  <c r="AA300" i="23" s="1"/>
  <c r="AD300" i="23"/>
  <c r="AF300" i="23"/>
  <c r="AG300" i="23"/>
  <c r="E301" i="23"/>
  <c r="G301" i="23" s="1"/>
  <c r="I301" i="23"/>
  <c r="K301" i="23"/>
  <c r="M301" i="23"/>
  <c r="O301" i="23" s="1"/>
  <c r="Q301" i="23"/>
  <c r="S301" i="23"/>
  <c r="U301" i="23"/>
  <c r="W301" i="23" s="1"/>
  <c r="Y301" i="23"/>
  <c r="AA301" i="23"/>
  <c r="AD301" i="23"/>
  <c r="AF301" i="23"/>
  <c r="AG301" i="23" s="1"/>
  <c r="E302" i="23"/>
  <c r="G302" i="23" s="1"/>
  <c r="I302" i="23"/>
  <c r="K302" i="23" s="1"/>
  <c r="M302" i="23"/>
  <c r="O302" i="23" s="1"/>
  <c r="Q302" i="23"/>
  <c r="S302" i="23" s="1"/>
  <c r="U302" i="23"/>
  <c r="W302" i="23" s="1"/>
  <c r="Y302" i="23"/>
  <c r="AA302" i="23" s="1"/>
  <c r="AD302" i="23"/>
  <c r="AF302" i="23"/>
  <c r="AG302" i="23"/>
  <c r="E303" i="23"/>
  <c r="G303" i="23"/>
  <c r="I303" i="23"/>
  <c r="K303" i="23"/>
  <c r="M303" i="23"/>
  <c r="O303" i="23"/>
  <c r="Q303" i="23"/>
  <c r="S303" i="23" s="1"/>
  <c r="U303" i="23"/>
  <c r="W303" i="23"/>
  <c r="Y303" i="23"/>
  <c r="AA303" i="23" s="1"/>
  <c r="AD303" i="23"/>
  <c r="AF303" i="23"/>
  <c r="AG303" i="23" s="1"/>
  <c r="E304" i="23"/>
  <c r="G304" i="23" s="1"/>
  <c r="I304" i="23"/>
  <c r="K304" i="23" s="1"/>
  <c r="M304" i="23"/>
  <c r="O304" i="23" s="1"/>
  <c r="Q304" i="23"/>
  <c r="S304" i="23" s="1"/>
  <c r="U304" i="23"/>
  <c r="W304" i="23" s="1"/>
  <c r="Y304" i="23"/>
  <c r="AA304" i="23" s="1"/>
  <c r="AD304" i="23"/>
  <c r="AF304" i="23"/>
  <c r="AG304" i="23" s="1"/>
  <c r="E305" i="23"/>
  <c r="G305" i="23"/>
  <c r="I305" i="23"/>
  <c r="K305" i="23" s="1"/>
  <c r="M305" i="23"/>
  <c r="O305" i="23"/>
  <c r="Q305" i="23"/>
  <c r="S305" i="23" s="1"/>
  <c r="U305" i="23"/>
  <c r="W305" i="23"/>
  <c r="Y305" i="23"/>
  <c r="AA305" i="23" s="1"/>
  <c r="AD305" i="23"/>
  <c r="AF305" i="23"/>
  <c r="AG305" i="23" s="1"/>
  <c r="E306" i="23"/>
  <c r="G306" i="23" s="1"/>
  <c r="I306" i="23"/>
  <c r="K306" i="23" s="1"/>
  <c r="M306" i="23"/>
  <c r="O306" i="23" s="1"/>
  <c r="Q306" i="23"/>
  <c r="S306" i="23" s="1"/>
  <c r="U306" i="23"/>
  <c r="W306" i="23" s="1"/>
  <c r="Y306" i="23"/>
  <c r="AA306" i="23" s="1"/>
  <c r="AD306" i="23"/>
  <c r="AF306" i="23"/>
  <c r="AG306" i="23"/>
  <c r="E307" i="23"/>
  <c r="G307" i="23" s="1"/>
  <c r="I307" i="23"/>
  <c r="K307" i="23"/>
  <c r="M307" i="23"/>
  <c r="O307" i="23" s="1"/>
  <c r="Q307" i="23"/>
  <c r="S307" i="23"/>
  <c r="U307" i="23"/>
  <c r="W307" i="23" s="1"/>
  <c r="Y307" i="23"/>
  <c r="AA307" i="23"/>
  <c r="AD307" i="23"/>
  <c r="AF307" i="23"/>
  <c r="AG307" i="23" s="1"/>
  <c r="E308" i="23"/>
  <c r="G308" i="23" s="1"/>
  <c r="I308" i="23"/>
  <c r="K308" i="23" s="1"/>
  <c r="M308" i="23"/>
  <c r="O308" i="23" s="1"/>
  <c r="Q308" i="23"/>
  <c r="S308" i="23" s="1"/>
  <c r="U308" i="23"/>
  <c r="W308" i="23" s="1"/>
  <c r="Y308" i="23"/>
  <c r="AA308" i="23" s="1"/>
  <c r="AD308" i="23"/>
  <c r="AF308" i="23"/>
  <c r="AG308" i="23"/>
  <c r="E309" i="23"/>
  <c r="G309" i="23" s="1"/>
  <c r="I309" i="23"/>
  <c r="K309" i="23"/>
  <c r="M309" i="23"/>
  <c r="O309" i="23" s="1"/>
  <c r="Q309" i="23"/>
  <c r="S309" i="23"/>
  <c r="U309" i="23"/>
  <c r="W309" i="23" s="1"/>
  <c r="Y309" i="23"/>
  <c r="AA309" i="23"/>
  <c r="AD309" i="23"/>
  <c r="AF309" i="23"/>
  <c r="AG309" i="23" s="1"/>
  <c r="E310" i="23"/>
  <c r="G310" i="23" s="1"/>
  <c r="I310" i="23"/>
  <c r="K310" i="23" s="1"/>
  <c r="M310" i="23"/>
  <c r="O310" i="23" s="1"/>
  <c r="Q310" i="23"/>
  <c r="S310" i="23" s="1"/>
  <c r="U310" i="23"/>
  <c r="W310" i="23" s="1"/>
  <c r="Y310" i="23"/>
  <c r="AA310" i="23" s="1"/>
  <c r="AD310" i="23"/>
  <c r="AF310" i="23"/>
  <c r="AG310" i="23" s="1"/>
  <c r="E311" i="23"/>
  <c r="G311" i="23"/>
  <c r="I311" i="23"/>
  <c r="K311" i="23" s="1"/>
  <c r="M311" i="23"/>
  <c r="O311" i="23"/>
  <c r="Q311" i="23"/>
  <c r="S311" i="23" s="1"/>
  <c r="U311" i="23"/>
  <c r="W311" i="23"/>
  <c r="Y311" i="23"/>
  <c r="AA311" i="23" s="1"/>
  <c r="AD311" i="23"/>
  <c r="AF311" i="23"/>
  <c r="AG311" i="23" s="1"/>
  <c r="D313" i="23"/>
  <c r="H313" i="23"/>
  <c r="L313" i="23"/>
  <c r="P313" i="23"/>
  <c r="T313" i="23"/>
  <c r="X313" i="23"/>
  <c r="AB313" i="23"/>
  <c r="AD313" i="23"/>
  <c r="AC313" i="23"/>
  <c r="F322" i="23"/>
  <c r="F323" i="23"/>
  <c r="F324" i="23"/>
  <c r="F325" i="23"/>
  <c r="F326" i="23"/>
  <c r="F327" i="23"/>
  <c r="F328" i="23"/>
  <c r="F329" i="23"/>
  <c r="F330" i="23"/>
  <c r="F331" i="23"/>
  <c r="F332" i="23"/>
  <c r="F333" i="23"/>
  <c r="F334" i="23"/>
  <c r="F335" i="23"/>
  <c r="F336" i="23"/>
  <c r="F337" i="23"/>
  <c r="F338" i="23"/>
  <c r="K339" i="23"/>
  <c r="L339" i="23"/>
  <c r="D340" i="23"/>
  <c r="F340" i="23" s="1"/>
  <c r="EI182" i="23"/>
  <c r="EI187" i="23"/>
  <c r="EI188" i="23"/>
  <c r="EI202" i="23"/>
  <c r="EI206" i="23"/>
  <c r="EI208" i="23"/>
  <c r="EI209" i="23"/>
  <c r="EI186" i="23"/>
  <c r="EI191" i="23"/>
  <c r="EI203" i="23"/>
  <c r="EI204" i="23"/>
  <c r="EI205" i="23"/>
  <c r="EI207" i="23"/>
  <c r="EI184" i="23"/>
  <c r="EI210" i="23"/>
  <c r="EI223" i="23"/>
  <c r="EI232" i="23"/>
  <c r="EI211" i="23"/>
  <c r="EI212" i="23"/>
  <c r="EI224" i="23"/>
  <c r="EI225" i="23"/>
  <c r="EI227" i="23"/>
  <c r="EI189" i="23"/>
  <c r="EI230" i="23"/>
  <c r="EI231" i="23"/>
  <c r="EI244" i="23"/>
  <c r="EI245" i="23"/>
  <c r="EI247" i="23"/>
  <c r="EI229" i="23"/>
  <c r="EI243" i="23"/>
  <c r="EI228" i="23"/>
  <c r="EI242" i="23"/>
  <c r="EI222" i="23"/>
  <c r="EI226" i="23"/>
  <c r="EE178" i="23"/>
  <c r="EE182" i="23"/>
  <c r="EE189" i="23"/>
  <c r="EE190" i="23"/>
  <c r="EE206" i="23"/>
  <c r="EE210" i="23"/>
  <c r="EE211" i="23"/>
  <c r="EE180" i="23"/>
  <c r="EE187" i="23"/>
  <c r="EE188" i="23"/>
  <c r="EE192" i="23"/>
  <c r="EE202" i="23"/>
  <c r="EE203" i="23"/>
  <c r="EE186" i="23"/>
  <c r="EE191" i="23"/>
  <c r="EE201" i="23"/>
  <c r="EE205" i="23"/>
  <c r="EE184" i="23"/>
  <c r="EE207" i="23"/>
  <c r="EE208" i="23"/>
  <c r="EE222" i="23"/>
  <c r="EE223" i="23"/>
  <c r="EE228" i="23"/>
  <c r="EE229" i="23"/>
  <c r="EE233" i="23"/>
  <c r="EE209" i="23"/>
  <c r="EE213" i="23"/>
  <c r="EE221" i="23"/>
  <c r="EE225" i="23"/>
  <c r="EE199" i="23"/>
  <c r="EE204" i="23"/>
  <c r="EE212" i="23"/>
  <c r="EE219" i="23"/>
  <c r="EE224" i="23"/>
  <c r="EE227" i="23"/>
  <c r="EE241" i="23"/>
  <c r="EE245" i="23"/>
  <c r="EE252" i="23"/>
  <c r="EE231" i="23"/>
  <c r="EE232" i="23"/>
  <c r="EE243" i="23"/>
  <c r="EE244" i="23"/>
  <c r="EE226" i="23"/>
  <c r="EE230" i="23"/>
  <c r="EE242" i="23"/>
  <c r="EA200" i="23"/>
  <c r="EA216" i="23" s="1"/>
  <c r="EA202" i="23"/>
  <c r="EA222" i="23"/>
  <c r="EA242" i="23"/>
  <c r="EA240" i="23"/>
  <c r="DW188" i="23"/>
  <c r="DW189" i="23"/>
  <c r="DW190" i="23"/>
  <c r="DW191" i="23"/>
  <c r="DW211" i="23"/>
  <c r="DW229" i="23"/>
  <c r="DW230" i="23"/>
  <c r="DW231" i="23"/>
  <c r="DW209" i="23"/>
  <c r="DW212" i="23"/>
  <c r="DW252" i="23"/>
  <c r="DW232" i="23"/>
  <c r="DW251" i="23"/>
  <c r="DS178" i="23"/>
  <c r="DS192" i="23"/>
  <c r="DS233" i="23"/>
  <c r="DS213" i="23"/>
  <c r="DS199" i="23"/>
  <c r="DS219" i="23"/>
  <c r="DO181" i="23"/>
  <c r="DO194" i="23"/>
  <c r="DO215" i="23"/>
  <c r="DO180" i="23"/>
  <c r="DO195" i="23" s="1"/>
  <c r="DO202" i="23"/>
  <c r="DO201" i="23"/>
  <c r="DO221" i="23"/>
  <c r="DO222" i="23"/>
  <c r="DO241" i="23"/>
  <c r="DO242" i="23"/>
  <c r="DK178" i="23"/>
  <c r="DK199" i="23"/>
  <c r="DK200" i="23"/>
  <c r="DK206" i="23"/>
  <c r="DK187" i="23"/>
  <c r="DK188" i="23"/>
  <c r="DK189" i="23"/>
  <c r="DK190" i="23"/>
  <c r="DK192" i="23"/>
  <c r="DK180" i="23"/>
  <c r="DK182" i="23"/>
  <c r="DK186" i="23"/>
  <c r="DK191" i="23"/>
  <c r="DK193" i="23"/>
  <c r="DK205" i="23"/>
  <c r="DK184" i="23"/>
  <c r="DK202" i="23"/>
  <c r="DK207" i="23"/>
  <c r="DK208" i="23"/>
  <c r="DK211" i="23"/>
  <c r="DK228" i="23"/>
  <c r="DK229" i="23"/>
  <c r="DK230" i="23"/>
  <c r="DK231" i="23"/>
  <c r="DK233" i="23"/>
  <c r="DK201" i="23"/>
  <c r="DK209" i="23"/>
  <c r="DK213" i="23"/>
  <c r="DK225" i="23"/>
  <c r="DK203" i="23"/>
  <c r="DK204" i="23"/>
  <c r="DK212" i="23"/>
  <c r="DK214" i="23"/>
  <c r="DK221" i="23"/>
  <c r="DK222" i="23"/>
  <c r="DK223" i="23"/>
  <c r="DK224" i="23"/>
  <c r="DK227" i="23"/>
  <c r="DK245" i="23"/>
  <c r="DK252" i="23"/>
  <c r="DK254" i="23"/>
  <c r="DK232" i="23"/>
  <c r="DK239" i="23"/>
  <c r="DK240" i="23"/>
  <c r="DK241" i="23"/>
  <c r="DK244" i="23"/>
  <c r="DK251" i="23"/>
  <c r="DK219" i="23"/>
  <c r="DK242" i="23"/>
  <c r="DK226" i="23"/>
  <c r="DK243" i="23"/>
  <c r="DK246" i="23"/>
  <c r="DG184" i="23"/>
  <c r="DG207" i="23"/>
  <c r="DG206" i="23"/>
  <c r="DG182" i="23"/>
  <c r="DG191" i="23"/>
  <c r="DG226" i="23"/>
  <c r="DG232" i="23"/>
  <c r="DG203" i="23"/>
  <c r="DG204" i="23"/>
  <c r="DG205" i="23"/>
  <c r="DG212" i="23"/>
  <c r="DG223" i="23"/>
  <c r="DG224" i="23"/>
  <c r="DG225" i="23"/>
  <c r="DG252" i="23"/>
  <c r="DG244" i="23"/>
  <c r="DG247" i="23"/>
  <c r="DG227" i="23"/>
  <c r="DG186" i="23"/>
  <c r="DG243" i="23"/>
  <c r="DC178" i="23"/>
  <c r="DC186" i="23"/>
  <c r="DC199" i="23"/>
  <c r="DC200" i="23"/>
  <c r="DC205" i="23"/>
  <c r="DC184" i="23"/>
  <c r="DC187" i="23"/>
  <c r="DC189" i="23"/>
  <c r="DC190" i="23"/>
  <c r="DC192" i="23"/>
  <c r="DC206" i="23"/>
  <c r="DC180" i="23"/>
  <c r="DC182" i="23"/>
  <c r="DC188" i="23"/>
  <c r="DC191" i="23"/>
  <c r="DC193" i="23"/>
  <c r="DC202" i="23"/>
  <c r="DC208" i="23"/>
  <c r="DC211" i="23"/>
  <c r="DC226" i="23"/>
  <c r="DC227" i="23"/>
  <c r="DC228" i="23"/>
  <c r="DC230" i="23"/>
  <c r="DC231" i="23"/>
  <c r="DC233" i="23"/>
  <c r="DC201" i="23"/>
  <c r="DC213" i="23"/>
  <c r="DC229" i="23"/>
  <c r="DC232" i="23"/>
  <c r="DC203" i="23"/>
  <c r="DC204" i="23"/>
  <c r="DC209" i="23"/>
  <c r="DC212" i="23"/>
  <c r="DC214" i="23"/>
  <c r="DC221" i="23"/>
  <c r="DC222" i="23"/>
  <c r="DC223" i="23"/>
  <c r="DC224" i="23"/>
  <c r="DC249" i="23"/>
  <c r="DC252" i="23"/>
  <c r="DC254" i="23"/>
  <c r="DC239" i="23"/>
  <c r="DC240" i="23"/>
  <c r="DC241" i="23"/>
  <c r="DC244" i="23"/>
  <c r="DC256" i="23" s="1"/>
  <c r="DC251" i="23"/>
  <c r="DC207" i="23"/>
  <c r="DC219" i="23"/>
  <c r="DC225" i="23"/>
  <c r="DC242" i="23"/>
  <c r="DC243" i="23"/>
  <c r="DC245" i="23"/>
  <c r="CY179" i="23"/>
  <c r="CY178" i="23"/>
  <c r="CY199" i="23"/>
  <c r="CY200" i="23"/>
  <c r="CY192" i="23"/>
  <c r="CY213" i="23"/>
  <c r="CY253" i="23"/>
  <c r="CY233" i="23"/>
  <c r="CY239" i="23"/>
  <c r="CY240" i="23"/>
  <c r="CY219" i="23"/>
  <c r="CU194" i="23"/>
  <c r="CU192" i="23"/>
  <c r="CU213" i="23"/>
  <c r="CU253" i="23"/>
  <c r="CU233" i="23"/>
  <c r="CU235" i="23"/>
  <c r="CU215" i="23"/>
  <c r="CQ181" i="23"/>
  <c r="CQ194" i="23"/>
  <c r="CQ202" i="23"/>
  <c r="CQ216" i="23" s="1"/>
  <c r="CQ222" i="23"/>
  <c r="CQ235" i="23"/>
  <c r="CQ215" i="23"/>
  <c r="CQ242" i="23"/>
  <c r="CM202" i="23"/>
  <c r="CM204" i="23"/>
  <c r="CM224" i="23"/>
  <c r="CM222" i="23"/>
  <c r="CM242" i="23"/>
  <c r="CM244" i="23"/>
  <c r="CI185" i="23"/>
  <c r="CI188" i="23"/>
  <c r="CI195" i="23" s="1"/>
  <c r="CI209" i="23"/>
  <c r="CI194" i="23"/>
  <c r="CI206" i="23"/>
  <c r="CI210" i="23"/>
  <c r="CI216" i="23" s="1"/>
  <c r="CI189" i="23"/>
  <c r="CI226" i="23"/>
  <c r="CI230" i="23"/>
  <c r="CI229" i="23"/>
  <c r="CI236" i="23" s="1"/>
  <c r="CI235" i="23"/>
  <c r="CI215" i="23"/>
  <c r="CE190" i="23"/>
  <c r="CE193" i="23"/>
  <c r="CE211" i="23"/>
  <c r="CE216" i="23" s="1"/>
  <c r="CE231" i="23"/>
  <c r="CE214" i="23"/>
  <c r="CE251" i="23"/>
  <c r="CE254" i="23"/>
  <c r="CA179" i="23"/>
  <c r="CA180" i="23"/>
  <c r="CA201" i="23"/>
  <c r="CA220" i="23"/>
  <c r="CA221" i="23"/>
  <c r="CA236" i="23" s="1"/>
  <c r="CA241" i="23"/>
  <c r="CA200" i="23"/>
  <c r="BW190" i="23"/>
  <c r="BW193" i="23"/>
  <c r="BW211" i="23"/>
  <c r="BW231" i="23"/>
  <c r="BW214" i="23"/>
  <c r="BW251" i="23"/>
  <c r="BW256" i="23" s="1"/>
  <c r="BW254" i="23"/>
  <c r="BS181" i="23"/>
  <c r="BS202" i="23"/>
  <c r="BS194" i="23"/>
  <c r="BS195" i="23" s="1"/>
  <c r="BS215" i="23"/>
  <c r="BS222" i="23"/>
  <c r="BS235" i="23"/>
  <c r="BS236" i="23"/>
  <c r="BS242" i="23"/>
  <c r="BO190" i="23"/>
  <c r="BO193" i="23"/>
  <c r="BO211" i="23"/>
  <c r="BO216" i="23" s="1"/>
  <c r="BO231" i="23"/>
  <c r="BO214" i="23"/>
  <c r="BO251" i="23"/>
  <c r="BO254" i="23"/>
  <c r="BK179" i="23"/>
  <c r="BK192" i="23"/>
  <c r="BK233" i="23"/>
  <c r="BK199" i="23"/>
  <c r="BK213" i="23"/>
  <c r="BK219" i="23"/>
  <c r="BK220" i="23"/>
  <c r="BK200" i="23"/>
  <c r="BG182" i="23"/>
  <c r="BG189" i="23"/>
  <c r="BG210" i="23"/>
  <c r="BG186" i="23"/>
  <c r="BG204" i="23"/>
  <c r="BG206" i="23"/>
  <c r="BG203" i="23"/>
  <c r="BG205" i="23"/>
  <c r="BG207" i="23"/>
  <c r="BG224" i="23"/>
  <c r="BG226" i="23"/>
  <c r="BG223" i="23"/>
  <c r="BG225" i="23"/>
  <c r="BG227" i="23"/>
  <c r="BG184" i="23"/>
  <c r="BG202" i="23"/>
  <c r="BG220" i="23"/>
  <c r="BG222" i="23"/>
  <c r="BG243" i="23"/>
  <c r="BG245" i="23"/>
  <c r="BG247" i="23"/>
  <c r="BG200" i="23"/>
  <c r="BG230" i="23"/>
  <c r="BG242" i="23"/>
  <c r="BG256" i="23" s="1"/>
  <c r="BG244" i="23"/>
  <c r="BC182" i="23"/>
  <c r="BC191" i="23"/>
  <c r="BC208" i="23"/>
  <c r="BC212" i="23"/>
  <c r="BC186" i="23"/>
  <c r="BC188" i="23"/>
  <c r="BC189" i="23"/>
  <c r="BC204" i="23"/>
  <c r="BC192" i="23"/>
  <c r="BC193" i="23"/>
  <c r="BC203" i="23"/>
  <c r="BC205" i="23"/>
  <c r="BC206" i="23"/>
  <c r="BC207" i="23"/>
  <c r="BC210" i="23"/>
  <c r="BC224" i="23"/>
  <c r="BC229" i="23"/>
  <c r="BC230" i="23"/>
  <c r="BC223" i="23"/>
  <c r="BC225" i="23"/>
  <c r="BC226" i="23"/>
  <c r="BC227" i="23"/>
  <c r="BC184" i="23"/>
  <c r="BC190" i="23"/>
  <c r="BC202" i="23"/>
  <c r="BC209" i="23"/>
  <c r="BC211" i="23"/>
  <c r="BC213" i="23"/>
  <c r="BC214" i="23"/>
  <c r="BC222" i="23"/>
  <c r="BC231" i="23"/>
  <c r="BC243" i="23"/>
  <c r="BC245" i="23"/>
  <c r="BC246" i="23"/>
  <c r="BC247" i="23"/>
  <c r="BC253" i="23"/>
  <c r="BC254" i="23"/>
  <c r="BC228" i="23"/>
  <c r="BC232" i="23"/>
  <c r="BC249" i="23"/>
  <c r="BC233" i="23"/>
  <c r="BC242" i="23"/>
  <c r="BC244" i="23"/>
  <c r="AY182" i="23"/>
  <c r="AY184" i="23"/>
  <c r="AY190" i="23"/>
  <c r="AY199" i="23"/>
  <c r="AY200" i="23"/>
  <c r="AY202" i="23"/>
  <c r="AY211" i="23"/>
  <c r="AY178" i="23"/>
  <c r="AY180" i="23"/>
  <c r="AY191" i="23"/>
  <c r="AY186" i="23"/>
  <c r="AY188" i="23"/>
  <c r="AY189" i="23"/>
  <c r="AY201" i="23"/>
  <c r="AY204" i="23"/>
  <c r="AY193" i="23"/>
  <c r="AY203" i="23"/>
  <c r="AY228" i="23"/>
  <c r="AY232" i="23"/>
  <c r="AY192" i="23"/>
  <c r="AY205" i="23"/>
  <c r="AY208" i="23"/>
  <c r="AY210" i="23"/>
  <c r="AY221" i="23"/>
  <c r="AY224" i="23"/>
  <c r="AY229" i="23"/>
  <c r="AY230" i="23"/>
  <c r="AY212" i="23"/>
  <c r="AY223" i="23"/>
  <c r="AY225" i="23"/>
  <c r="AY226" i="23"/>
  <c r="AY227" i="23"/>
  <c r="AY233" i="23"/>
  <c r="AY234" i="23"/>
  <c r="AY241" i="23"/>
  <c r="AY244" i="23"/>
  <c r="AY249" i="23"/>
  <c r="AY250" i="23"/>
  <c r="AY213" i="23"/>
  <c r="AY239" i="23"/>
  <c r="AY240" i="23"/>
  <c r="AY243" i="23"/>
  <c r="AY253" i="23"/>
  <c r="AY254" i="23"/>
  <c r="AY207" i="23"/>
  <c r="AY206" i="23"/>
  <c r="AY219" i="23"/>
  <c r="AY220" i="23"/>
  <c r="AY246" i="23"/>
  <c r="AU184" i="23"/>
  <c r="AU194" i="23"/>
  <c r="AU215" i="23"/>
  <c r="AU180" i="23"/>
  <c r="AU188" i="23"/>
  <c r="AU189" i="23"/>
  <c r="AU201" i="23"/>
  <c r="AU228" i="23"/>
  <c r="AU192" i="23"/>
  <c r="AU205" i="23"/>
  <c r="AU208" i="23"/>
  <c r="AU210" i="23"/>
  <c r="AU221" i="23"/>
  <c r="AU229" i="23"/>
  <c r="AU230" i="23"/>
  <c r="AU225" i="23"/>
  <c r="AU226" i="23"/>
  <c r="AU233" i="23"/>
  <c r="AU241" i="23"/>
  <c r="AU249" i="23"/>
  <c r="AU250" i="23"/>
  <c r="AU213" i="23"/>
  <c r="AU235" i="23"/>
  <c r="AU253" i="23"/>
  <c r="AU206" i="23"/>
  <c r="AU246" i="23"/>
  <c r="AQ194" i="23"/>
  <c r="AQ215" i="23"/>
  <c r="AQ180" i="23"/>
  <c r="AQ195" i="23" s="1"/>
  <c r="AQ201" i="23"/>
  <c r="AQ216" i="23" s="1"/>
  <c r="AQ221" i="23"/>
  <c r="AQ241" i="23"/>
  <c r="AQ235" i="23"/>
  <c r="AQ236" i="23" s="1"/>
  <c r="AM187" i="23"/>
  <c r="AM190" i="23"/>
  <c r="AM188" i="23"/>
  <c r="AM189" i="23"/>
  <c r="AM191" i="23"/>
  <c r="AM228" i="23"/>
  <c r="AM231" i="23"/>
  <c r="AM208" i="23"/>
  <c r="AM210" i="23"/>
  <c r="AM211" i="23"/>
  <c r="AM229" i="23"/>
  <c r="AM230" i="23"/>
  <c r="AM232" i="23"/>
  <c r="AM249" i="23"/>
  <c r="AM250" i="23"/>
  <c r="AM252" i="23"/>
  <c r="AI190" i="23"/>
  <c r="AI195" i="23" s="1"/>
  <c r="AI189" i="23"/>
  <c r="AI231" i="23"/>
  <c r="AI210" i="23"/>
  <c r="AI216" i="23" s="1"/>
  <c r="AI211" i="23"/>
  <c r="AI230" i="23"/>
  <c r="AI250" i="23"/>
  <c r="AE181" i="23"/>
  <c r="AE201" i="23"/>
  <c r="AE194" i="23"/>
  <c r="AE202" i="23"/>
  <c r="AE215" i="23"/>
  <c r="AE222" i="23"/>
  <c r="AE242" i="23"/>
  <c r="AE241" i="23"/>
  <c r="AE221" i="23"/>
  <c r="AE236" i="23" s="1"/>
  <c r="AE235" i="23"/>
  <c r="AA187" i="23"/>
  <c r="AA209" i="23"/>
  <c r="AA212" i="23"/>
  <c r="AA216" i="23" s="1"/>
  <c r="AA228" i="23"/>
  <c r="AA191" i="23"/>
  <c r="AA208" i="23"/>
  <c r="AA229" i="23"/>
  <c r="EJ229" i="23" s="1"/>
  <c r="AA232" i="23"/>
  <c r="AA248" i="23"/>
  <c r="AA188" i="23"/>
  <c r="W194" i="23"/>
  <c r="W199" i="23"/>
  <c r="W200" i="23"/>
  <c r="W204" i="23"/>
  <c r="W178" i="23"/>
  <c r="W219" i="23"/>
  <c r="W220" i="23"/>
  <c r="W224" i="23"/>
  <c r="W215" i="23"/>
  <c r="W235" i="23"/>
  <c r="W239" i="23"/>
  <c r="W240" i="23"/>
  <c r="S187" i="23"/>
  <c r="S188" i="23"/>
  <c r="S190" i="23"/>
  <c r="S191" i="23"/>
  <c r="S209" i="23"/>
  <c r="EJ209" i="23" s="1"/>
  <c r="J332" i="23" s="1"/>
  <c r="S211" i="23"/>
  <c r="S212" i="23"/>
  <c r="S189" i="23"/>
  <c r="S210" i="23"/>
  <c r="S230" i="23"/>
  <c r="S228" i="23"/>
  <c r="S229" i="23"/>
  <c r="S231" i="23"/>
  <c r="O181" i="23"/>
  <c r="O194" i="23"/>
  <c r="O202" i="23"/>
  <c r="O215" i="23"/>
  <c r="O222" i="23"/>
  <c r="O255" i="23"/>
  <c r="O235" i="23"/>
  <c r="K180" i="23"/>
  <c r="K201" i="23"/>
  <c r="K221" i="23"/>
  <c r="K194" i="23"/>
  <c r="K235" i="23"/>
  <c r="K236" i="23" s="1"/>
  <c r="K215" i="23"/>
  <c r="K241" i="23"/>
  <c r="G184" i="23"/>
  <c r="G186" i="23"/>
  <c r="G203" i="23"/>
  <c r="G207" i="23"/>
  <c r="G182" i="23"/>
  <c r="G193" i="23"/>
  <c r="G204" i="23"/>
  <c r="G223" i="23"/>
  <c r="G227" i="23"/>
  <c r="G205" i="23"/>
  <c r="G224" i="23"/>
  <c r="G214" i="23"/>
  <c r="G225" i="23"/>
  <c r="G228" i="23"/>
  <c r="G244" i="23"/>
  <c r="G254" i="23"/>
  <c r="G234" i="23"/>
  <c r="G243" i="23"/>
  <c r="C179" i="23"/>
  <c r="C200" i="23"/>
  <c r="C180" i="23"/>
  <c r="C195" i="23" s="1"/>
  <c r="C201" i="23"/>
  <c r="C221" i="23"/>
  <c r="C240" i="23"/>
  <c r="C241" i="23"/>
  <c r="N142" i="23"/>
  <c r="AI273" i="23"/>
  <c r="AI269" i="23"/>
  <c r="AJ269" i="23" s="1"/>
  <c r="CU255" i="23"/>
  <c r="CQ255" i="23"/>
  <c r="CI255" i="23"/>
  <c r="AE255" i="23"/>
  <c r="W255" i="23"/>
  <c r="BC251" i="23"/>
  <c r="EI250" i="23"/>
  <c r="CI250" i="23"/>
  <c r="G247" i="23"/>
  <c r="CK256" i="23"/>
  <c r="AY245" i="23"/>
  <c r="AU245" i="23"/>
  <c r="G245" i="23"/>
  <c r="BK239" i="23"/>
  <c r="DO235" i="23"/>
  <c r="DO236" i="23" s="1"/>
  <c r="DK234" i="23"/>
  <c r="DC234" i="23"/>
  <c r="CE234" i="23"/>
  <c r="BW234" i="23"/>
  <c r="BO234" i="23"/>
  <c r="BC234" i="23"/>
  <c r="S232" i="23"/>
  <c r="AY222" i="23"/>
  <c r="BK253" i="23"/>
  <c r="AY252" i="23"/>
  <c r="S252" i="23"/>
  <c r="EE251" i="23"/>
  <c r="EE248" i="23"/>
  <c r="DK248" i="23"/>
  <c r="DC248" i="23"/>
  <c r="AY248" i="23"/>
  <c r="AU248" i="23"/>
  <c r="AM248" i="23"/>
  <c r="EE247" i="23"/>
  <c r="DK247" i="23"/>
  <c r="EI246" i="23"/>
  <c r="EE246" i="23"/>
  <c r="EE256" i="23" s="1"/>
  <c r="CI246" i="23"/>
  <c r="AN256" i="23"/>
  <c r="W244" i="23"/>
  <c r="CG256" i="23"/>
  <c r="AY242" i="23"/>
  <c r="O242" i="23"/>
  <c r="AM212" i="23"/>
  <c r="DW210" i="23"/>
  <c r="DK210" i="23"/>
  <c r="DC210" i="23"/>
  <c r="AY209" i="23"/>
  <c r="AU209" i="23"/>
  <c r="AM209" i="23"/>
  <c r="S208" i="23"/>
  <c r="G208" i="23"/>
  <c r="EI190" i="23"/>
  <c r="E286" i="23"/>
  <c r="AD268" i="23"/>
  <c r="AJ277" i="23"/>
  <c r="EI252" i="23"/>
  <c r="BC252" i="23"/>
  <c r="AA252" i="23"/>
  <c r="EI251" i="23"/>
  <c r="AM251" i="23"/>
  <c r="AI251" i="23"/>
  <c r="DW250" i="23"/>
  <c r="DK250" i="23"/>
  <c r="DC250" i="23"/>
  <c r="BC250" i="23"/>
  <c r="S250" i="23"/>
  <c r="EE249" i="23"/>
  <c r="DW249" i="23"/>
  <c r="DK249" i="23"/>
  <c r="CI249" i="23"/>
  <c r="S249" i="23"/>
  <c r="EI248" i="23"/>
  <c r="BC248" i="23"/>
  <c r="S248" i="23"/>
  <c r="G248" i="23"/>
  <c r="DC247" i="23"/>
  <c r="AY247" i="23"/>
  <c r="CA240" i="23"/>
  <c r="BK240" i="23"/>
  <c r="BG240" i="23"/>
  <c r="C220" i="23"/>
  <c r="Q236" i="23"/>
  <c r="CF236" i="23"/>
  <c r="AZ216" i="23"/>
  <c r="EG216" i="23"/>
  <c r="CN236" i="23"/>
  <c r="DX216" i="23"/>
  <c r="DT216" i="23"/>
  <c r="CS216" i="23"/>
  <c r="V279" i="23"/>
  <c r="V277" i="23"/>
  <c r="Q273" i="23"/>
  <c r="Q327" i="23" s="1"/>
  <c r="Q267" i="23"/>
  <c r="Y256" i="23"/>
  <c r="P216" i="23"/>
  <c r="AF216" i="23"/>
  <c r="CS256" i="23"/>
  <c r="T236" i="23"/>
  <c r="T216" i="23"/>
  <c r="DU216" i="23"/>
  <c r="BL236" i="23"/>
  <c r="BO195" i="23"/>
  <c r="BD236" i="23"/>
  <c r="DI216" i="23"/>
  <c r="DE216" i="23"/>
  <c r="DA216" i="23"/>
  <c r="AW216" i="23"/>
  <c r="AS216" i="23"/>
  <c r="AO216" i="23"/>
  <c r="AK216" i="23"/>
  <c r="EF195" i="23"/>
  <c r="AZ195" i="23"/>
  <c r="AV195" i="23"/>
  <c r="AR195" i="23"/>
  <c r="AN195" i="23"/>
  <c r="AJ195" i="23"/>
  <c r="D195" i="23"/>
  <c r="CV216" i="23"/>
  <c r="BS216" i="23"/>
  <c r="DH195" i="23"/>
  <c r="BH195" i="23"/>
  <c r="BD195" i="23"/>
  <c r="H195" i="23"/>
  <c r="CQ195" i="23"/>
  <c r="L274" i="23"/>
  <c r="K328" i="23"/>
  <c r="L278" i="23"/>
  <c r="O313" i="23"/>
  <c r="K324" i="23"/>
  <c r="L268" i="23"/>
  <c r="AI268" i="23"/>
  <c r="AJ268" i="23"/>
  <c r="AI270" i="23"/>
  <c r="AJ270" i="23" s="1"/>
  <c r="AI272" i="23"/>
  <c r="AI274" i="23"/>
  <c r="AJ274" i="23" s="1"/>
  <c r="AI276" i="23"/>
  <c r="AJ276" i="23"/>
  <c r="AI278" i="23"/>
  <c r="AJ278" i="23" s="1"/>
  <c r="AI280" i="23"/>
  <c r="AJ280" i="23" s="1"/>
  <c r="AI282" i="23"/>
  <c r="AJ282" i="23" s="1"/>
  <c r="AI284" i="23"/>
  <c r="AJ284" i="23"/>
  <c r="CN256" i="23"/>
  <c r="BX256" i="23"/>
  <c r="P256" i="23"/>
  <c r="EH186" i="23"/>
  <c r="EH188" i="23"/>
  <c r="EH190" i="23"/>
  <c r="EH189" i="23"/>
  <c r="EH187" i="23"/>
  <c r="EH202" i="23"/>
  <c r="EH204" i="23"/>
  <c r="EH191" i="23"/>
  <c r="EH181" i="23"/>
  <c r="EH183" i="23"/>
  <c r="EH208" i="23"/>
  <c r="EH210" i="23"/>
  <c r="EH212" i="23"/>
  <c r="EH222" i="23"/>
  <c r="EH224" i="23"/>
  <c r="EH228" i="23"/>
  <c r="EH230" i="23"/>
  <c r="EH232" i="23"/>
  <c r="EH207" i="23"/>
  <c r="EH211" i="23"/>
  <c r="EH242" i="23"/>
  <c r="EH244" i="23"/>
  <c r="EH248" i="23"/>
  <c r="EH250" i="23"/>
  <c r="EH227" i="23"/>
  <c r="EH229" i="23"/>
  <c r="EH231" i="23"/>
  <c r="EH209" i="23"/>
  <c r="ED182" i="23"/>
  <c r="ED181" i="23"/>
  <c r="ED202" i="23"/>
  <c r="ED222" i="23"/>
  <c r="ED203" i="23"/>
  <c r="ED216" i="23" s="1"/>
  <c r="ED242" i="23"/>
  <c r="ED223" i="23"/>
  <c r="ED243" i="23"/>
  <c r="DZ190" i="23"/>
  <c r="DZ189" i="23"/>
  <c r="DZ210" i="23"/>
  <c r="DZ216" i="23" s="1"/>
  <c r="DZ230" i="23"/>
  <c r="DZ236" i="23"/>
  <c r="DZ211" i="23"/>
  <c r="DZ250" i="23"/>
  <c r="DZ231" i="23"/>
  <c r="DV194" i="23"/>
  <c r="DV181" i="23"/>
  <c r="DV202" i="23"/>
  <c r="DV222" i="23"/>
  <c r="DV242" i="23"/>
  <c r="DV256" i="23" s="1"/>
  <c r="DV235" i="23"/>
  <c r="DV215" i="23"/>
  <c r="DV255" i="23"/>
  <c r="DR178" i="23"/>
  <c r="DR195" i="23" s="1"/>
  <c r="DR180" i="23"/>
  <c r="DR199" i="23"/>
  <c r="DR216" i="23" s="1"/>
  <c r="DR201" i="23"/>
  <c r="DR219" i="23"/>
  <c r="DR239" i="23"/>
  <c r="DR241" i="23"/>
  <c r="DR221" i="23"/>
  <c r="DN182" i="23"/>
  <c r="DN194" i="23"/>
  <c r="DN203" i="23"/>
  <c r="DN235" i="23"/>
  <c r="DN223" i="23"/>
  <c r="DN215" i="23"/>
  <c r="DN216" i="23" s="1"/>
  <c r="DN243" i="23"/>
  <c r="DN256" i="23"/>
  <c r="DN255" i="23"/>
  <c r="DJ184" i="23"/>
  <c r="DJ186" i="23"/>
  <c r="DJ185" i="23"/>
  <c r="DJ206" i="23"/>
  <c r="DJ205" i="23"/>
  <c r="DJ226" i="23"/>
  <c r="DJ207" i="23"/>
  <c r="DJ246" i="23"/>
  <c r="DJ225" i="23"/>
  <c r="DJ227" i="23"/>
  <c r="DF184" i="23"/>
  <c r="DF195" i="23" s="1"/>
  <c r="DF186" i="23"/>
  <c r="DF188" i="23"/>
  <c r="DF205" i="23"/>
  <c r="DF207" i="23"/>
  <c r="DF225" i="23"/>
  <c r="DF227" i="23"/>
  <c r="DF229" i="23"/>
  <c r="DF209" i="23"/>
  <c r="DB180" i="23"/>
  <c r="DB182" i="23"/>
  <c r="DB184" i="23"/>
  <c r="DB186" i="23"/>
  <c r="DB188" i="23"/>
  <c r="DB190" i="23"/>
  <c r="DB192" i="23"/>
  <c r="DB189" i="23"/>
  <c r="DB187" i="23"/>
  <c r="DB204" i="23"/>
  <c r="DB206" i="23"/>
  <c r="DB191" i="23"/>
  <c r="DB183" i="23"/>
  <c r="DB208" i="23"/>
  <c r="DB210" i="23"/>
  <c r="DB212" i="23"/>
  <c r="DB205" i="23"/>
  <c r="DB224" i="23"/>
  <c r="DB226" i="23"/>
  <c r="DB228" i="23"/>
  <c r="DB230" i="23"/>
  <c r="DB232" i="23"/>
  <c r="DB201" i="23"/>
  <c r="DB203" i="23"/>
  <c r="DB207" i="23"/>
  <c r="DB185" i="23"/>
  <c r="DB211" i="23"/>
  <c r="DB213" i="23"/>
  <c r="DB244" i="23"/>
  <c r="DB246" i="23"/>
  <c r="DB248" i="23"/>
  <c r="DB250" i="23"/>
  <c r="DB225" i="23"/>
  <c r="DB227" i="23"/>
  <c r="DB229" i="23"/>
  <c r="DB241" i="23"/>
  <c r="DB221" i="23"/>
  <c r="DB223" i="23"/>
  <c r="DB231" i="23"/>
  <c r="DB233" i="23"/>
  <c r="DB209" i="23"/>
  <c r="DB243" i="23"/>
  <c r="DB253" i="23"/>
  <c r="CX178" i="23"/>
  <c r="CX180" i="23"/>
  <c r="CX184" i="23"/>
  <c r="CX186" i="23"/>
  <c r="CX188" i="23"/>
  <c r="CX179" i="23"/>
  <c r="CX199" i="23"/>
  <c r="CX189" i="23"/>
  <c r="CX187" i="23"/>
  <c r="CX200" i="23"/>
  <c r="CX206" i="23"/>
  <c r="CX208" i="23"/>
  <c r="CX210" i="23"/>
  <c r="CX205" i="23"/>
  <c r="CX220" i="23"/>
  <c r="CX226" i="23"/>
  <c r="CX228" i="23"/>
  <c r="CX230" i="23"/>
  <c r="CX201" i="23"/>
  <c r="CX207" i="23"/>
  <c r="CX185" i="23"/>
  <c r="CX219" i="23"/>
  <c r="CX240" i="23"/>
  <c r="CX246" i="23"/>
  <c r="CX248" i="23"/>
  <c r="CX250" i="23"/>
  <c r="CX225" i="23"/>
  <c r="CX227" i="23"/>
  <c r="CX229" i="23"/>
  <c r="CX239" i="23"/>
  <c r="CX241" i="23"/>
  <c r="CX221" i="23"/>
  <c r="CX209" i="23"/>
  <c r="CT178" i="23"/>
  <c r="CT192" i="23"/>
  <c r="CT199" i="23"/>
  <c r="CT213" i="23"/>
  <c r="CT219" i="23"/>
  <c r="CT239" i="23"/>
  <c r="CT233" i="23"/>
  <c r="CT253" i="23"/>
  <c r="CP178" i="23"/>
  <c r="CP184" i="23"/>
  <c r="CP179" i="23"/>
  <c r="CP199" i="23"/>
  <c r="CP181" i="23"/>
  <c r="CP200" i="23"/>
  <c r="CP202" i="23"/>
  <c r="CP204" i="23"/>
  <c r="CP183" i="23"/>
  <c r="CP205" i="23"/>
  <c r="CP220" i="23"/>
  <c r="CP222" i="23"/>
  <c r="CP224" i="23"/>
  <c r="CP219" i="23"/>
  <c r="CP240" i="23"/>
  <c r="CP242" i="23"/>
  <c r="CP244" i="23"/>
  <c r="CP225" i="23"/>
  <c r="CP239" i="23"/>
  <c r="CL180" i="23"/>
  <c r="CL182" i="23"/>
  <c r="CL179" i="23"/>
  <c r="CL192" i="23"/>
  <c r="CL200" i="23"/>
  <c r="CL202" i="23"/>
  <c r="CL181" i="23"/>
  <c r="CL220" i="23"/>
  <c r="CL222" i="23"/>
  <c r="CL201" i="23"/>
  <c r="CL203" i="23"/>
  <c r="CL213" i="23"/>
  <c r="CL240" i="23"/>
  <c r="CL242" i="23"/>
  <c r="CL241" i="23"/>
  <c r="CL221" i="23"/>
  <c r="CL223" i="23"/>
  <c r="CL233" i="23"/>
  <c r="CL243" i="23"/>
  <c r="CL253" i="23"/>
  <c r="CH180" i="23"/>
  <c r="CH194" i="23"/>
  <c r="CH201" i="23"/>
  <c r="CH235" i="23"/>
  <c r="CH241" i="23"/>
  <c r="CH221" i="23"/>
  <c r="CH215" i="23"/>
  <c r="CH255" i="23"/>
  <c r="CD184" i="23"/>
  <c r="CD186" i="23"/>
  <c r="CD185" i="23"/>
  <c r="CD206" i="23"/>
  <c r="CD205" i="23"/>
  <c r="CD226" i="23"/>
  <c r="CD207" i="23"/>
  <c r="CD216" i="23"/>
  <c r="CD246" i="23"/>
  <c r="CD225" i="23"/>
  <c r="CD227" i="23"/>
  <c r="BZ180" i="23"/>
  <c r="BZ182" i="23"/>
  <c r="BZ194" i="23"/>
  <c r="BZ202" i="23"/>
  <c r="BZ181" i="23"/>
  <c r="BZ222" i="23"/>
  <c r="BZ201" i="23"/>
  <c r="BZ203" i="23"/>
  <c r="BZ242" i="23"/>
  <c r="BZ235" i="23"/>
  <c r="BZ241" i="23"/>
  <c r="BZ221" i="23"/>
  <c r="BZ223" i="23"/>
  <c r="BZ236" i="23" s="1"/>
  <c r="BZ215" i="23"/>
  <c r="BZ243" i="23"/>
  <c r="BZ255" i="23"/>
  <c r="BV184" i="23"/>
  <c r="BV186" i="23"/>
  <c r="BV185" i="23"/>
  <c r="BV206" i="23"/>
  <c r="BV205" i="23"/>
  <c r="BV226" i="23"/>
  <c r="BV207" i="23"/>
  <c r="BV246" i="23"/>
  <c r="BV225" i="23"/>
  <c r="BV227" i="23"/>
  <c r="BR184" i="23"/>
  <c r="BR195" i="23" s="1"/>
  <c r="BR186" i="23"/>
  <c r="BR192" i="23"/>
  <c r="BR205" i="23"/>
  <c r="BR207" i="23"/>
  <c r="BR213" i="23"/>
  <c r="BR225" i="23"/>
  <c r="BR227" i="23"/>
  <c r="BR233" i="23"/>
  <c r="BR253" i="23"/>
  <c r="BN188" i="23"/>
  <c r="BN190" i="23"/>
  <c r="BN189" i="23"/>
  <c r="BN187" i="23"/>
  <c r="BN195" i="23" s="1"/>
  <c r="BN191" i="23"/>
  <c r="BN208" i="23"/>
  <c r="BN210" i="23"/>
  <c r="BN212" i="23"/>
  <c r="BN228" i="23"/>
  <c r="BN230" i="23"/>
  <c r="BN232" i="23"/>
  <c r="BN211" i="23"/>
  <c r="BN248" i="23"/>
  <c r="BN250" i="23"/>
  <c r="BN229" i="23"/>
  <c r="BN231" i="23"/>
  <c r="BN209" i="23"/>
  <c r="BJ180" i="23"/>
  <c r="BJ194" i="23"/>
  <c r="BJ202" i="23"/>
  <c r="BJ181" i="23"/>
  <c r="BJ195" i="23"/>
  <c r="BJ222" i="23"/>
  <c r="BJ201" i="23"/>
  <c r="BJ216" i="23" s="1"/>
  <c r="BJ242" i="23"/>
  <c r="BJ235" i="23"/>
  <c r="BJ241" i="23"/>
  <c r="BJ221" i="23"/>
  <c r="BJ215" i="23"/>
  <c r="BJ255" i="23"/>
  <c r="BF192" i="23"/>
  <c r="BF185" i="23"/>
  <c r="BF195" i="23" s="1"/>
  <c r="BF189" i="23"/>
  <c r="BF206" i="23"/>
  <c r="BF210" i="23"/>
  <c r="BF226" i="23"/>
  <c r="BF236" i="23" s="1"/>
  <c r="BF230" i="23"/>
  <c r="BF213" i="23"/>
  <c r="BF246" i="23"/>
  <c r="BF250" i="23"/>
  <c r="EJ250" i="23" s="1"/>
  <c r="P333" i="23" s="1"/>
  <c r="BF233" i="23"/>
  <c r="BF253" i="23"/>
  <c r="BB178" i="23"/>
  <c r="BB180" i="23"/>
  <c r="BB182" i="23"/>
  <c r="BB184" i="23"/>
  <c r="BB186" i="23"/>
  <c r="BB188" i="23"/>
  <c r="BB190" i="23"/>
  <c r="BB192" i="23"/>
  <c r="BB187" i="23"/>
  <c r="BB199" i="23"/>
  <c r="BB181" i="23"/>
  <c r="BB189" i="23"/>
  <c r="BB179" i="23"/>
  <c r="BB200" i="23"/>
  <c r="EJ200" i="23" s="1"/>
  <c r="J323" i="23" s="1"/>
  <c r="BB202" i="23"/>
  <c r="BB204" i="23"/>
  <c r="BB206" i="23"/>
  <c r="BB185" i="23"/>
  <c r="BB191" i="23"/>
  <c r="BB208" i="23"/>
  <c r="EJ208" i="23" s="1"/>
  <c r="J331" i="23" s="1"/>
  <c r="BB210" i="23"/>
  <c r="BB212" i="23"/>
  <c r="BB214" i="23"/>
  <c r="BB193" i="23"/>
  <c r="BB205" i="23"/>
  <c r="BB220" i="23"/>
  <c r="BB222" i="23"/>
  <c r="BB224" i="23"/>
  <c r="BB226" i="23"/>
  <c r="BB228" i="23"/>
  <c r="BB230" i="23"/>
  <c r="BB232" i="23"/>
  <c r="EJ232" i="23" s="1"/>
  <c r="BB234" i="23"/>
  <c r="BB201" i="23"/>
  <c r="BB203" i="23"/>
  <c r="BB207" i="23"/>
  <c r="BB211" i="23"/>
  <c r="BB213" i="23"/>
  <c r="BB219" i="23"/>
  <c r="BB240" i="23"/>
  <c r="BB256" i="23" s="1"/>
  <c r="BB242" i="23"/>
  <c r="BB244" i="23"/>
  <c r="BB246" i="23"/>
  <c r="BB248" i="23"/>
  <c r="BB250" i="23"/>
  <c r="BB225" i="23"/>
  <c r="BB227" i="23"/>
  <c r="BB229" i="23"/>
  <c r="BB239" i="23"/>
  <c r="BB241" i="23"/>
  <c r="BB243" i="23"/>
  <c r="BB221" i="23"/>
  <c r="BB223" i="23"/>
  <c r="BB231" i="23"/>
  <c r="BB233" i="23"/>
  <c r="BB209" i="23"/>
  <c r="BB253" i="23"/>
  <c r="AX182" i="23"/>
  <c r="AX195" i="23" s="1"/>
  <c r="AX186" i="23"/>
  <c r="AX204" i="23"/>
  <c r="AX191" i="23"/>
  <c r="AX183" i="23"/>
  <c r="AX212" i="23"/>
  <c r="AX214" i="23"/>
  <c r="AX193" i="23"/>
  <c r="AX224" i="23"/>
  <c r="AX232" i="23"/>
  <c r="AX234" i="23"/>
  <c r="AX203" i="23"/>
  <c r="AX207" i="23"/>
  <c r="AX244" i="23"/>
  <c r="AX227" i="23"/>
  <c r="AX243" i="23"/>
  <c r="AX223" i="23"/>
  <c r="AX236" i="23" s="1"/>
  <c r="AT182" i="23"/>
  <c r="AT190" i="23"/>
  <c r="AT202" i="23"/>
  <c r="AT204" i="23"/>
  <c r="AT183" i="23"/>
  <c r="AT181" i="23"/>
  <c r="AT195" i="23" s="1"/>
  <c r="AT222" i="23"/>
  <c r="AT224" i="23"/>
  <c r="AT203" i="23"/>
  <c r="AT211" i="23"/>
  <c r="AT242" i="23"/>
  <c r="AT244" i="23"/>
  <c r="AT256" i="23" s="1"/>
  <c r="AT243" i="23"/>
  <c r="AT223" i="23"/>
  <c r="EJ223" i="23" s="1"/>
  <c r="AT231" i="23"/>
  <c r="AP180" i="23"/>
  <c r="AP184" i="23"/>
  <c r="AP186" i="23"/>
  <c r="AP205" i="23"/>
  <c r="AP201" i="23"/>
  <c r="AP216" i="23" s="1"/>
  <c r="AP207" i="23"/>
  <c r="AP225" i="23"/>
  <c r="AP227" i="23"/>
  <c r="AP241" i="23"/>
  <c r="AP221" i="23"/>
  <c r="AL184" i="23"/>
  <c r="AL186" i="23"/>
  <c r="AL185" i="23"/>
  <c r="AL206" i="23"/>
  <c r="AL205" i="23"/>
  <c r="AL226" i="23"/>
  <c r="AL207" i="23"/>
  <c r="AL246" i="23"/>
  <c r="AL225" i="23"/>
  <c r="AL227" i="23"/>
  <c r="AH178" i="23"/>
  <c r="AH180" i="23"/>
  <c r="AH186" i="23"/>
  <c r="AH188" i="23"/>
  <c r="AH190" i="23"/>
  <c r="AH192" i="23"/>
  <c r="AH179" i="23"/>
  <c r="AH185" i="23"/>
  <c r="AH194" i="23"/>
  <c r="AH199" i="23"/>
  <c r="AH189" i="23"/>
  <c r="AH200" i="23"/>
  <c r="AH202" i="23"/>
  <c r="AH204" i="23"/>
  <c r="AH206" i="23"/>
  <c r="AH187" i="23"/>
  <c r="AH191" i="23"/>
  <c r="AH183" i="23"/>
  <c r="AH208" i="23"/>
  <c r="AH210" i="23"/>
  <c r="AH212" i="23"/>
  <c r="AH214" i="23"/>
  <c r="AH181" i="23"/>
  <c r="AH193" i="23"/>
  <c r="AH220" i="23"/>
  <c r="AH222" i="23"/>
  <c r="AH224" i="23"/>
  <c r="AH226" i="23"/>
  <c r="AH228" i="23"/>
  <c r="AH230" i="23"/>
  <c r="AH232" i="23"/>
  <c r="AH234" i="23"/>
  <c r="AH201" i="23"/>
  <c r="AH207" i="23"/>
  <c r="AH211" i="23"/>
  <c r="AH213" i="23"/>
  <c r="AH219" i="23"/>
  <c r="AH240" i="23"/>
  <c r="AH242" i="23"/>
  <c r="AH244" i="23"/>
  <c r="AH246" i="23"/>
  <c r="AH248" i="23"/>
  <c r="AH250" i="23"/>
  <c r="AH252" i="23"/>
  <c r="AH227" i="23"/>
  <c r="AH229" i="23"/>
  <c r="AH235" i="23"/>
  <c r="AH239" i="23"/>
  <c r="AH241" i="23"/>
  <c r="AH221" i="23"/>
  <c r="AH231" i="23"/>
  <c r="AH233" i="23"/>
  <c r="AH209" i="23"/>
  <c r="AH215" i="23"/>
  <c r="AH253" i="23"/>
  <c r="AH255" i="23"/>
  <c r="AD190" i="23"/>
  <c r="AD189" i="23"/>
  <c r="AD195" i="23" s="1"/>
  <c r="AD210" i="23"/>
  <c r="AD216" i="23" s="1"/>
  <c r="AD230" i="23"/>
  <c r="AD211" i="23"/>
  <c r="AD250" i="23"/>
  <c r="AD231" i="23"/>
  <c r="Z184" i="23"/>
  <c r="Z186" i="23"/>
  <c r="Z188" i="23"/>
  <c r="Z190" i="23"/>
  <c r="Z185" i="23"/>
  <c r="Z187" i="23"/>
  <c r="Z189" i="23"/>
  <c r="Z206" i="23"/>
  <c r="Z191" i="23"/>
  <c r="Z208" i="23"/>
  <c r="Z210" i="23"/>
  <c r="Z212" i="23"/>
  <c r="Z214" i="23"/>
  <c r="Z193" i="23"/>
  <c r="Z205" i="23"/>
  <c r="Z226" i="23"/>
  <c r="Z228" i="23"/>
  <c r="Z230" i="23"/>
  <c r="Z232" i="23"/>
  <c r="Z234" i="23"/>
  <c r="Z207" i="23"/>
  <c r="EJ207" i="23" s="1"/>
  <c r="J330" i="23" s="1"/>
  <c r="Z211" i="23"/>
  <c r="Z246" i="23"/>
  <c r="Z248" i="23"/>
  <c r="EJ248" i="23"/>
  <c r="P331" i="23" s="1"/>
  <c r="Z250" i="23"/>
  <c r="Z252" i="23"/>
  <c r="EJ252" i="23" s="1"/>
  <c r="P335" i="23" s="1"/>
  <c r="Z225" i="23"/>
  <c r="Z227" i="23"/>
  <c r="Z236" i="23" s="1"/>
  <c r="Z229" i="23"/>
  <c r="Z231" i="23"/>
  <c r="EJ231" i="23" s="1"/>
  <c r="Z209" i="23"/>
  <c r="V180" i="23"/>
  <c r="V194" i="23"/>
  <c r="V202" i="23"/>
  <c r="EJ202" i="23" s="1"/>
  <c r="J325" i="23" s="1"/>
  <c r="L325" i="23" s="1"/>
  <c r="M325" i="23" s="1"/>
  <c r="V222" i="23"/>
  <c r="V181" i="23"/>
  <c r="V201" i="23"/>
  <c r="V242" i="23"/>
  <c r="EJ242" i="23" s="1"/>
  <c r="P325" i="23" s="1"/>
  <c r="V235" i="23"/>
  <c r="V241" i="23"/>
  <c r="V221" i="23"/>
  <c r="V215" i="23"/>
  <c r="EJ215" i="23" s="1"/>
  <c r="J338" i="23" s="1"/>
  <c r="V255" i="23"/>
  <c r="R178" i="23"/>
  <c r="R195" i="23" s="1"/>
  <c r="R199" i="23"/>
  <c r="R179" i="23"/>
  <c r="R200" i="23"/>
  <c r="R220" i="23"/>
  <c r="R219" i="23"/>
  <c r="R240" i="23"/>
  <c r="R239" i="23"/>
  <c r="N184" i="23"/>
  <c r="N186" i="23"/>
  <c r="N188" i="23"/>
  <c r="N183" i="23"/>
  <c r="N185" i="23"/>
  <c r="N194" i="23"/>
  <c r="N204" i="23"/>
  <c r="N206" i="23"/>
  <c r="N205" i="23"/>
  <c r="N224" i="23"/>
  <c r="N226" i="23"/>
  <c r="N207" i="23"/>
  <c r="N244" i="23"/>
  <c r="N246" i="23"/>
  <c r="N225" i="23"/>
  <c r="N227" i="23"/>
  <c r="N229" i="23"/>
  <c r="N235" i="23"/>
  <c r="N209" i="23"/>
  <c r="N215" i="23"/>
  <c r="N255" i="23"/>
  <c r="J178" i="23"/>
  <c r="J192" i="23"/>
  <c r="J199" i="23"/>
  <c r="J179" i="23"/>
  <c r="J200" i="23"/>
  <c r="J220" i="23"/>
  <c r="J213" i="23"/>
  <c r="J219" i="23"/>
  <c r="J240" i="23"/>
  <c r="J239" i="23"/>
  <c r="J233" i="23"/>
  <c r="J253" i="23"/>
  <c r="EJ156" i="23"/>
  <c r="F178" i="23"/>
  <c r="F192" i="23"/>
  <c r="F199" i="23"/>
  <c r="F179" i="23"/>
  <c r="F200" i="23"/>
  <c r="F220" i="23"/>
  <c r="F213" i="23"/>
  <c r="F219" i="23"/>
  <c r="F240" i="23"/>
  <c r="F239" i="23"/>
  <c r="EJ239" i="23" s="1"/>
  <c r="P322" i="23" s="1"/>
  <c r="F233" i="23"/>
  <c r="F253" i="23"/>
  <c r="EJ253" i="23" s="1"/>
  <c r="P336" i="23" s="1"/>
  <c r="P286" i="23"/>
  <c r="BB254" i="23"/>
  <c r="AX254" i="23"/>
  <c r="AH254" i="23"/>
  <c r="Z254" i="23"/>
  <c r="CM236" i="23"/>
  <c r="C236" i="23"/>
  <c r="CR256" i="23"/>
  <c r="CJ256" i="23"/>
  <c r="BP256" i="23"/>
  <c r="AF256" i="23"/>
  <c r="X286" i="23"/>
  <c r="N286" i="23"/>
  <c r="I286" i="23"/>
  <c r="AI283" i="23"/>
  <c r="AJ283" i="23" s="1"/>
  <c r="AI279" i="23"/>
  <c r="AJ279" i="23" s="1"/>
  <c r="AI275" i="23"/>
  <c r="AJ275" i="23" s="1"/>
  <c r="AI271" i="23"/>
  <c r="AJ271" i="23" s="1"/>
  <c r="EH251" i="23"/>
  <c r="DZ251" i="23"/>
  <c r="DZ256" i="23" s="1"/>
  <c r="DB251" i="23"/>
  <c r="BN251" i="23"/>
  <c r="BB251" i="23"/>
  <c r="AT251" i="23"/>
  <c r="AH251" i="23"/>
  <c r="AD251" i="23"/>
  <c r="Z251" i="23"/>
  <c r="EF256" i="23"/>
  <c r="DX256" i="23"/>
  <c r="DP256" i="23"/>
  <c r="DH256" i="23"/>
  <c r="AV256" i="23"/>
  <c r="CV256" i="23"/>
  <c r="CF256" i="23"/>
  <c r="X256" i="23"/>
  <c r="D216" i="23"/>
  <c r="M313" i="23"/>
  <c r="K333" i="23"/>
  <c r="K325" i="23"/>
  <c r="Q313" i="23"/>
  <c r="AE286" i="23"/>
  <c r="EH252" i="23"/>
  <c r="DB252" i="23"/>
  <c r="BN252" i="23"/>
  <c r="BB252" i="23"/>
  <c r="AX252" i="23"/>
  <c r="EH249" i="23"/>
  <c r="DF249" i="23"/>
  <c r="DB249" i="23"/>
  <c r="CX249" i="23"/>
  <c r="BN249" i="23"/>
  <c r="BN256" i="23" s="1"/>
  <c r="BB249" i="23"/>
  <c r="AH249" i="23"/>
  <c r="Z249" i="23"/>
  <c r="N249" i="23"/>
  <c r="N256" i="23" s="1"/>
  <c r="EH247" i="23"/>
  <c r="DJ247" i="23"/>
  <c r="DF247" i="23"/>
  <c r="DB247" i="23"/>
  <c r="CX247" i="23"/>
  <c r="CD247" i="23"/>
  <c r="BV247" i="23"/>
  <c r="BR247" i="23"/>
  <c r="BB247" i="23"/>
  <c r="AX247" i="23"/>
  <c r="AP247" i="23"/>
  <c r="AL247" i="23"/>
  <c r="AL256" i="23" s="1"/>
  <c r="AH247" i="23"/>
  <c r="Z247" i="23"/>
  <c r="N247" i="23"/>
  <c r="AJ256" i="23"/>
  <c r="DJ245" i="23"/>
  <c r="DF245" i="23"/>
  <c r="DF256" i="23" s="1"/>
  <c r="DB245" i="23"/>
  <c r="CX245" i="23"/>
  <c r="CP245" i="23"/>
  <c r="CD245" i="23"/>
  <c r="BV245" i="23"/>
  <c r="BV256" i="23" s="1"/>
  <c r="BR245" i="23"/>
  <c r="BR256" i="23" s="1"/>
  <c r="BB245" i="23"/>
  <c r="AP245" i="23"/>
  <c r="AL245" i="23"/>
  <c r="Z245" i="23"/>
  <c r="N245" i="23"/>
  <c r="AZ256" i="23"/>
  <c r="H256" i="23"/>
  <c r="BT236" i="23"/>
  <c r="AF236" i="23"/>
  <c r="EA236" i="23"/>
  <c r="BO236" i="23"/>
  <c r="BG236" i="23"/>
  <c r="O236" i="23"/>
  <c r="CW236" i="23"/>
  <c r="U236" i="23"/>
  <c r="CB216" i="23"/>
  <c r="BP216" i="23"/>
  <c r="EF216" i="23"/>
  <c r="EB216" i="23"/>
  <c r="DP216" i="23"/>
  <c r="DH216" i="23"/>
  <c r="AV216" i="23"/>
  <c r="DE236" i="23"/>
  <c r="DA236" i="23"/>
  <c r="AS236" i="23"/>
  <c r="AO236" i="23"/>
  <c r="AK236" i="23"/>
  <c r="BL216" i="23"/>
  <c r="CZ216" i="23"/>
  <c r="CR216" i="23"/>
  <c r="AJ216" i="23"/>
  <c r="CN216" i="23"/>
  <c r="DV216" i="23"/>
  <c r="CE236" i="23"/>
  <c r="DV236" i="23"/>
  <c r="EF236" i="23"/>
  <c r="DX236" i="23"/>
  <c r="DP236" i="23"/>
  <c r="DH236" i="23"/>
  <c r="CQ236" i="23"/>
  <c r="AV236" i="23"/>
  <c r="AJ236" i="23"/>
  <c r="AA236" i="23"/>
  <c r="CO236" i="23"/>
  <c r="CK236" i="23"/>
  <c r="BY236" i="23"/>
  <c r="BU236" i="23"/>
  <c r="BQ236" i="23"/>
  <c r="BE236" i="23"/>
  <c r="I236" i="23"/>
  <c r="BX216" i="23"/>
  <c r="L216" i="23"/>
  <c r="H216" i="23"/>
  <c r="BD216" i="23"/>
  <c r="C216" i="23"/>
  <c r="CL236" i="23"/>
  <c r="CH236" i="23"/>
  <c r="CD236" i="23"/>
  <c r="V236" i="23"/>
  <c r="BT216" i="23"/>
  <c r="BH216" i="23"/>
  <c r="CJ216" i="23"/>
  <c r="AR216" i="23"/>
  <c r="AN216" i="23"/>
  <c r="DF216" i="23"/>
  <c r="AB216" i="23"/>
  <c r="X216" i="23"/>
  <c r="M195" i="23"/>
  <c r="I195" i="23"/>
  <c r="AF195" i="23"/>
  <c r="DP195" i="23"/>
  <c r="DL195" i="23"/>
  <c r="DD195" i="23"/>
  <c r="CZ195" i="23"/>
  <c r="EJ201" i="23"/>
  <c r="J324" i="23" s="1"/>
  <c r="L324" i="23" s="1"/>
  <c r="M324" i="23" s="1"/>
  <c r="U195" i="23"/>
  <c r="CS195" i="23"/>
  <c r="AG216" i="23"/>
  <c r="AC216" i="23"/>
  <c r="U216" i="23"/>
  <c r="O195" i="23"/>
  <c r="DM195" i="23"/>
  <c r="CO216" i="23"/>
  <c r="CK216" i="23"/>
  <c r="CG216" i="23"/>
  <c r="CC216" i="23"/>
  <c r="BU216" i="23"/>
  <c r="BQ216" i="23"/>
  <c r="BM216" i="23"/>
  <c r="BI216" i="23"/>
  <c r="BE216" i="23"/>
  <c r="I216" i="23"/>
  <c r="BM195" i="23"/>
  <c r="T195" i="23"/>
  <c r="P195" i="23"/>
  <c r="L195" i="23"/>
  <c r="EC195" i="23"/>
  <c r="AG195" i="23"/>
  <c r="CN195" i="23"/>
  <c r="CJ195" i="23"/>
  <c r="CF195" i="23"/>
  <c r="CB195" i="23"/>
  <c r="BX195" i="23"/>
  <c r="BT195" i="23"/>
  <c r="BP195" i="23"/>
  <c r="BL195" i="23"/>
  <c r="Q216" i="23"/>
  <c r="M216" i="23"/>
  <c r="CV195" i="23"/>
  <c r="CR195" i="23"/>
  <c r="AB195" i="23"/>
  <c r="X195" i="23"/>
  <c r="EB195" i="23"/>
  <c r="DX195" i="23"/>
  <c r="DT195" i="23"/>
  <c r="AE180" i="23"/>
  <c r="AE195" i="23"/>
  <c r="BK178" i="23"/>
  <c r="BK195" i="23" s="1"/>
  <c r="EI181" i="23"/>
  <c r="EI195" i="23" s="1"/>
  <c r="EI183" i="23"/>
  <c r="EI185" i="23"/>
  <c r="EE181" i="23"/>
  <c r="EE195" i="23" s="1"/>
  <c r="EE183" i="23"/>
  <c r="EE185" i="23"/>
  <c r="EA179" i="23"/>
  <c r="EA181" i="23"/>
  <c r="DK179" i="23"/>
  <c r="DK181" i="23"/>
  <c r="DK183" i="23"/>
  <c r="DK185" i="23"/>
  <c r="DK195" i="23" s="1"/>
  <c r="DG183" i="23"/>
  <c r="DG195" i="23" s="1"/>
  <c r="DG185" i="23"/>
  <c r="DC179" i="23"/>
  <c r="DC195" i="23"/>
  <c r="DC181" i="23"/>
  <c r="DC183" i="23"/>
  <c r="DC185" i="23"/>
  <c r="CM181" i="23"/>
  <c r="CM195" i="23" s="1"/>
  <c r="CM183" i="23"/>
  <c r="BG179" i="23"/>
  <c r="BG181" i="23"/>
  <c r="BG183" i="23"/>
  <c r="BG185" i="23"/>
  <c r="BC181" i="23"/>
  <c r="BC183" i="23"/>
  <c r="BC185" i="23"/>
  <c r="BC195" i="23" s="1"/>
  <c r="BC187" i="23"/>
  <c r="AY179" i="23"/>
  <c r="AY181" i="23"/>
  <c r="AY183" i="23"/>
  <c r="AY195" i="23" s="1"/>
  <c r="AY185" i="23"/>
  <c r="AY187" i="23"/>
  <c r="AU185" i="23"/>
  <c r="AU187" i="23"/>
  <c r="AU195" i="23" s="1"/>
  <c r="W179" i="23"/>
  <c r="W195" i="23" s="1"/>
  <c r="W183" i="23"/>
  <c r="G183" i="23"/>
  <c r="G187" i="23"/>
  <c r="G195" i="23" s="1"/>
  <c r="AU216" i="23"/>
  <c r="DG236" i="23"/>
  <c r="DK216" i="23"/>
  <c r="K216" i="23"/>
  <c r="W236" i="23"/>
  <c r="CQ256" i="23"/>
  <c r="DS195" i="23"/>
  <c r="EJ249" i="23"/>
  <c r="P332" i="23" s="1"/>
  <c r="Q332" i="23"/>
  <c r="O256" i="23"/>
  <c r="EI256" i="23"/>
  <c r="AY216" i="23"/>
  <c r="AY256" i="23"/>
  <c r="BC236" i="23"/>
  <c r="DG256" i="23"/>
  <c r="DK256" i="23"/>
  <c r="DO216" i="23"/>
  <c r="DW216" i="23"/>
  <c r="CH216" i="23"/>
  <c r="AD236" i="23"/>
  <c r="EJ235" i="23"/>
  <c r="BR216" i="23"/>
  <c r="CT216" i="23"/>
  <c r="DR256" i="23"/>
  <c r="BC256" i="23"/>
  <c r="S256" i="23"/>
  <c r="BK256" i="23"/>
  <c r="W216" i="23"/>
  <c r="AE256" i="23"/>
  <c r="AM256" i="23"/>
  <c r="AU236" i="23"/>
  <c r="BC216" i="23"/>
  <c r="BG216" i="23"/>
  <c r="CM216" i="23"/>
  <c r="CY216" i="23"/>
  <c r="DC216" i="23"/>
  <c r="EE216" i="23"/>
  <c r="EI216" i="23"/>
  <c r="EJ244" i="23"/>
  <c r="P327" i="23" s="1"/>
  <c r="EJ204" i="23"/>
  <c r="J327" i="23" s="1"/>
  <c r="N236" i="23"/>
  <c r="AL236" i="23"/>
  <c r="DJ256" i="23"/>
  <c r="D342" i="23"/>
  <c r="D343" i="23" s="1"/>
  <c r="AG286" i="23"/>
  <c r="EJ220" i="23"/>
  <c r="J216" i="23"/>
  <c r="N195" i="23"/>
  <c r="R256" i="23"/>
  <c r="EJ222" i="23"/>
  <c r="Z216" i="23"/>
  <c r="EJ210" i="23"/>
  <c r="J333" i="23" s="1"/>
  <c r="AD256" i="23"/>
  <c r="AH216" i="23"/>
  <c r="BB236" i="23"/>
  <c r="CP195" i="23"/>
  <c r="CT236" i="23"/>
  <c r="CT195" i="23"/>
  <c r="CX256" i="23"/>
  <c r="CX236" i="23"/>
  <c r="DB195" i="23"/>
  <c r="BG195" i="23"/>
  <c r="EJ219" i="23"/>
  <c r="N216" i="23"/>
  <c r="Z256" i="23"/>
  <c r="J256" i="23"/>
  <c r="EJ226" i="23"/>
  <c r="EJ230" i="23"/>
  <c r="AH236" i="23"/>
  <c r="AH195" i="23"/>
  <c r="AP256" i="23"/>
  <c r="AP195" i="23"/>
  <c r="BB216" i="23"/>
  <c r="BZ256" i="23"/>
  <c r="BZ216" i="23"/>
  <c r="CD195" i="23"/>
  <c r="CH256" i="23"/>
  <c r="CL256" i="23"/>
  <c r="CL216" i="23"/>
  <c r="CP216" i="23"/>
  <c r="CX195" i="23"/>
  <c r="DB256" i="23"/>
  <c r="DZ195" i="23"/>
  <c r="ED256" i="23"/>
  <c r="ED195" i="23"/>
  <c r="F216" i="23"/>
  <c r="BF216" i="23"/>
  <c r="BZ195" i="23"/>
  <c r="CL195" i="23"/>
  <c r="CX216" i="23"/>
  <c r="EJ241" i="23"/>
  <c r="P324" i="23" s="1"/>
  <c r="F236" i="23"/>
  <c r="J195" i="23"/>
  <c r="R236" i="23"/>
  <c r="EJ228" i="23"/>
  <c r="EJ214" i="23"/>
  <c r="J337" i="23" s="1"/>
  <c r="Z195" i="23"/>
  <c r="AH256" i="23"/>
  <c r="AX256" i="23"/>
  <c r="BB195" i="23"/>
  <c r="BF256" i="23"/>
  <c r="BJ256" i="23"/>
  <c r="CP256" i="23"/>
  <c r="DB216" i="23"/>
  <c r="DV195" i="23"/>
  <c r="EH256" i="23"/>
  <c r="EH195" i="23"/>
  <c r="Y24" i="4"/>
  <c r="D39" i="5" s="1"/>
  <c r="K20" i="5"/>
  <c r="K12" i="5"/>
  <c r="I20" i="5"/>
  <c r="H20" i="5"/>
  <c r="E20" i="5"/>
  <c r="F20" i="5"/>
  <c r="G20" i="5"/>
  <c r="J20" i="5"/>
  <c r="E12" i="5"/>
  <c r="F12" i="5"/>
  <c r="G12" i="5"/>
  <c r="J12" i="5"/>
  <c r="H12" i="5"/>
  <c r="I12" i="5"/>
  <c r="HK11" i="4"/>
  <c r="HS11" i="4"/>
  <c r="HR11" i="4"/>
  <c r="HQ11" i="4"/>
  <c r="HP11" i="4"/>
  <c r="HO11" i="4"/>
  <c r="HO24" i="4" s="1"/>
  <c r="J222" i="5" s="1"/>
  <c r="HN11" i="4"/>
  <c r="HM11" i="4"/>
  <c r="HL11" i="4"/>
  <c r="GR11" i="4"/>
  <c r="GQ11" i="4"/>
  <c r="GP11" i="4"/>
  <c r="GO11" i="4"/>
  <c r="GN11" i="4"/>
  <c r="GM11" i="4"/>
  <c r="GL11" i="4"/>
  <c r="GK11" i="4"/>
  <c r="GS11" i="4" s="1"/>
  <c r="GJ11" i="4"/>
  <c r="DI11" i="4" s="1"/>
  <c r="FR11" i="4"/>
  <c r="DH11" i="4" s="1"/>
  <c r="FI11" i="4"/>
  <c r="EZ11" i="4"/>
  <c r="EQ11" i="4"/>
  <c r="BG11" i="4"/>
  <c r="BF11" i="4"/>
  <c r="BM11" i="4" s="1"/>
  <c r="BE11" i="4"/>
  <c r="BD11" i="4"/>
  <c r="BA11" i="4"/>
  <c r="AZ11" i="4"/>
  <c r="AY11" i="4"/>
  <c r="AX11" i="4"/>
  <c r="AW11" i="4"/>
  <c r="AV11" i="4"/>
  <c r="CH11" i="4"/>
  <c r="CF11" i="4"/>
  <c r="CE11" i="4"/>
  <c r="CD11" i="4"/>
  <c r="CC11" i="4"/>
  <c r="BU11" i="4"/>
  <c r="BL11" i="4"/>
  <c r="BX11" i="4"/>
  <c r="CW11" i="4"/>
  <c r="CX11" i="4" s="1"/>
  <c r="BY11" i="4"/>
  <c r="BQ11" i="4"/>
  <c r="BJ11" i="4"/>
  <c r="BR11" i="4"/>
  <c r="BV11" i="4"/>
  <c r="BS11" i="4"/>
  <c r="BW11" i="4"/>
  <c r="IH11" i="4"/>
  <c r="CG11" i="4"/>
  <c r="CG24" i="4" s="1"/>
  <c r="K262" i="5" s="1"/>
  <c r="L262" i="5" s="1"/>
  <c r="D419" i="5"/>
  <c r="D418" i="5"/>
  <c r="E419" i="5"/>
  <c r="E418" i="5"/>
  <c r="AM39" i="4"/>
  <c r="AM38" i="4"/>
  <c r="AM37" i="4"/>
  <c r="AM36" i="4"/>
  <c r="AM35" i="4"/>
  <c r="AM34" i="4"/>
  <c r="AM33" i="4"/>
  <c r="AM32" i="4"/>
  <c r="AM31" i="4"/>
  <c r="AM30" i="4"/>
  <c r="AM40" i="4" s="1"/>
  <c r="Z222" i="5"/>
  <c r="AC222" i="5" s="1"/>
  <c r="AD222" i="5" s="1"/>
  <c r="Z225" i="5"/>
  <c r="AC225" i="5" s="1"/>
  <c r="AD225" i="5" s="1"/>
  <c r="Z219" i="5"/>
  <c r="AC219" i="5" s="1"/>
  <c r="AD219" i="5" s="1"/>
  <c r="Z218" i="5"/>
  <c r="AC218" i="5" s="1"/>
  <c r="AD218" i="5" s="1"/>
  <c r="Z220" i="5"/>
  <c r="AC220" i="5" s="1"/>
  <c r="AD220" i="5" s="1"/>
  <c r="AU24" i="4"/>
  <c r="AE24" i="4"/>
  <c r="D29" i="5" s="1"/>
  <c r="AG24" i="4"/>
  <c r="D33" i="5"/>
  <c r="AC24" i="4"/>
  <c r="D27" i="5" s="1"/>
  <c r="AF24" i="4"/>
  <c r="D35" i="5" s="1"/>
  <c r="AB24" i="4"/>
  <c r="D38" i="5" s="1"/>
  <c r="AD24" i="4"/>
  <c r="D34" i="5"/>
  <c r="J35" i="5"/>
  <c r="F35" i="5"/>
  <c r="H35" i="5"/>
  <c r="G35" i="5"/>
  <c r="I35" i="5"/>
  <c r="G38" i="5"/>
  <c r="H38" i="5"/>
  <c r="I38" i="5"/>
  <c r="J38" i="5"/>
  <c r="F38" i="5"/>
  <c r="K38" i="5"/>
  <c r="K35" i="5"/>
  <c r="E38" i="5"/>
  <c r="E35" i="5"/>
  <c r="K34" i="5"/>
  <c r="F34" i="5"/>
  <c r="E34" i="5"/>
  <c r="G34" i="5"/>
  <c r="J34" i="5"/>
  <c r="H34" i="5"/>
  <c r="I34" i="5"/>
  <c r="K27" i="5"/>
  <c r="K33" i="5"/>
  <c r="F33" i="5"/>
  <c r="J33" i="5"/>
  <c r="I27" i="5"/>
  <c r="F27" i="5"/>
  <c r="H27" i="5"/>
  <c r="E27" i="5"/>
  <c r="J27" i="5"/>
  <c r="G27" i="5"/>
  <c r="H29" i="5"/>
  <c r="I29" i="5"/>
  <c r="G29" i="5"/>
  <c r="K29" i="5"/>
  <c r="F29" i="5"/>
  <c r="J29" i="5"/>
  <c r="FF24" i="4"/>
  <c r="F218" i="5" s="1"/>
  <c r="T175" i="17"/>
  <c r="T174" i="17"/>
  <c r="V174" i="17" s="1"/>
  <c r="S172" i="17"/>
  <c r="Q172" i="17"/>
  <c r="O172" i="17"/>
  <c r="M172" i="17"/>
  <c r="S176" i="17"/>
  <c r="Q176" i="17"/>
  <c r="O176" i="17"/>
  <c r="M176" i="17"/>
  <c r="R195" i="17"/>
  <c r="P195" i="17"/>
  <c r="N195" i="17"/>
  <c r="L195" i="17"/>
  <c r="H246" i="17"/>
  <c r="E246" i="17"/>
  <c r="J170" i="17"/>
  <c r="J171" i="17" s="1"/>
  <c r="I170" i="17"/>
  <c r="I171" i="17" s="1"/>
  <c r="H170" i="17"/>
  <c r="H171" i="17" s="1"/>
  <c r="G170" i="17"/>
  <c r="G171" i="17"/>
  <c r="F176" i="17"/>
  <c r="H176" i="17" s="1"/>
  <c r="F177" i="17"/>
  <c r="H177" i="17" s="1"/>
  <c r="J177" i="17" s="1"/>
  <c r="F178" i="17"/>
  <c r="H178" i="17" s="1"/>
  <c r="J178" i="17" s="1"/>
  <c r="F179" i="17"/>
  <c r="H179" i="17" s="1"/>
  <c r="J179" i="17" s="1"/>
  <c r="F180" i="17"/>
  <c r="H180" i="17" s="1"/>
  <c r="J180" i="17" s="1"/>
  <c r="F181" i="17"/>
  <c r="H181" i="17" s="1"/>
  <c r="J181" i="17" s="1"/>
  <c r="F182" i="17"/>
  <c r="H182" i="17" s="1"/>
  <c r="J182" i="17" s="1"/>
  <c r="F183" i="17"/>
  <c r="H183" i="17" s="1"/>
  <c r="J183" i="17" s="1"/>
  <c r="F184" i="17"/>
  <c r="H184" i="17" s="1"/>
  <c r="J184" i="17" s="1"/>
  <c r="F185" i="17"/>
  <c r="H185" i="17"/>
  <c r="J185" i="17" s="1"/>
  <c r="F186" i="17"/>
  <c r="H186" i="17" s="1"/>
  <c r="J186" i="17" s="1"/>
  <c r="F187" i="17"/>
  <c r="H187" i="17" s="1"/>
  <c r="J187" i="17" s="1"/>
  <c r="F188" i="17"/>
  <c r="H188" i="17" s="1"/>
  <c r="J188" i="17" s="1"/>
  <c r="F189" i="17"/>
  <c r="H189" i="17" s="1"/>
  <c r="J189" i="17" s="1"/>
  <c r="F190" i="17"/>
  <c r="H190" i="17" s="1"/>
  <c r="J190" i="17" s="1"/>
  <c r="F191" i="17"/>
  <c r="H191" i="17" s="1"/>
  <c r="J191" i="17" s="1"/>
  <c r="F192" i="17"/>
  <c r="H192" i="17" s="1"/>
  <c r="J192" i="17" s="1"/>
  <c r="F193" i="17"/>
  <c r="H193" i="17" s="1"/>
  <c r="J193" i="17" s="1"/>
  <c r="F174" i="17"/>
  <c r="G174" i="17" s="1"/>
  <c r="H174" i="17" s="1"/>
  <c r="E175" i="17"/>
  <c r="F175" i="17" s="1"/>
  <c r="D195" i="17"/>
  <c r="C170" i="17"/>
  <c r="C171" i="17" s="1"/>
  <c r="V112" i="17"/>
  <c r="T93" i="17"/>
  <c r="Q93" i="17"/>
  <c r="N93" i="17"/>
  <c r="K93" i="17"/>
  <c r="R112" i="17"/>
  <c r="O112" i="17"/>
  <c r="L112" i="17"/>
  <c r="I112" i="17"/>
  <c r="F93" i="17"/>
  <c r="D112" i="17"/>
  <c r="C28" i="17"/>
  <c r="J28" i="17"/>
  <c r="J29" i="17"/>
  <c r="S95" i="17" s="1"/>
  <c r="T95" i="17" s="1"/>
  <c r="I28" i="17"/>
  <c r="I29" i="17" s="1"/>
  <c r="H28" i="17"/>
  <c r="H29" i="17" s="1"/>
  <c r="G28" i="17"/>
  <c r="G29" i="17" s="1"/>
  <c r="J100" i="17" s="1"/>
  <c r="K100" i="17" s="1"/>
  <c r="D28" i="17"/>
  <c r="D29" i="17" s="1"/>
  <c r="L59" i="17"/>
  <c r="J26" i="17"/>
  <c r="I26" i="17"/>
  <c r="H26" i="17"/>
  <c r="G26" i="17"/>
  <c r="V56" i="17"/>
  <c r="R56" i="17"/>
  <c r="O56" i="17"/>
  <c r="L56" i="17"/>
  <c r="I56" i="17"/>
  <c r="C1" i="17"/>
  <c r="C2" i="17" s="1"/>
  <c r="J1" i="17"/>
  <c r="J2" i="17"/>
  <c r="S39" i="17" s="1"/>
  <c r="I1" i="17"/>
  <c r="I2" i="17" s="1"/>
  <c r="H1" i="17"/>
  <c r="H2" i="17" s="1"/>
  <c r="G1" i="17"/>
  <c r="G2" i="17"/>
  <c r="J54" i="17" s="1"/>
  <c r="K54" i="17" s="1"/>
  <c r="D56" i="17"/>
  <c r="H56" i="17"/>
  <c r="D1" i="17"/>
  <c r="D2" i="17" s="1"/>
  <c r="E5" i="19"/>
  <c r="H5" i="19"/>
  <c r="K5" i="19"/>
  <c r="E6" i="19"/>
  <c r="H6" i="19"/>
  <c r="K6" i="19"/>
  <c r="E7" i="19"/>
  <c r="L7" i="19" s="1"/>
  <c r="H7" i="19"/>
  <c r="K7" i="19"/>
  <c r="E8" i="19"/>
  <c r="H8" i="19"/>
  <c r="L8" i="19" s="1"/>
  <c r="K8" i="19"/>
  <c r="E9" i="19"/>
  <c r="H9" i="19"/>
  <c r="K9" i="19"/>
  <c r="E10" i="19"/>
  <c r="H10" i="19"/>
  <c r="K10" i="19"/>
  <c r="E11" i="19"/>
  <c r="H11" i="19"/>
  <c r="K11" i="19"/>
  <c r="C12" i="19"/>
  <c r="D12" i="19"/>
  <c r="F12" i="19"/>
  <c r="G12" i="19"/>
  <c r="I12" i="19"/>
  <c r="J12" i="19"/>
  <c r="F21" i="19"/>
  <c r="F22" i="19"/>
  <c r="F23" i="19"/>
  <c r="F24" i="19"/>
  <c r="F25" i="19"/>
  <c r="F26" i="19"/>
  <c r="F27" i="19"/>
  <c r="D26" i="17"/>
  <c r="F26" i="17" s="1"/>
  <c r="F419" i="5"/>
  <c r="F418" i="5"/>
  <c r="K18" i="17"/>
  <c r="M18" i="17" s="1"/>
  <c r="K14" i="17"/>
  <c r="M14" i="17" s="1"/>
  <c r="K6" i="17"/>
  <c r="K5" i="17"/>
  <c r="M5" i="17"/>
  <c r="K19" i="17"/>
  <c r="M19" i="17" s="1"/>
  <c r="K21" i="17"/>
  <c r="M21" i="17" s="1"/>
  <c r="K11" i="17"/>
  <c r="M11" i="17" s="1"/>
  <c r="K8" i="17"/>
  <c r="M8" i="17" s="1"/>
  <c r="K10" i="17"/>
  <c r="M10" i="17" s="1"/>
  <c r="K12" i="17"/>
  <c r="M12" i="17" s="1"/>
  <c r="K23" i="17"/>
  <c r="M23" i="17" s="1"/>
  <c r="K7" i="17"/>
  <c r="K16" i="17"/>
  <c r="M16" i="17"/>
  <c r="K9" i="17"/>
  <c r="M9" i="17" s="1"/>
  <c r="K22" i="17"/>
  <c r="M22" i="17" s="1"/>
  <c r="K17" i="17"/>
  <c r="M17" i="17" s="1"/>
  <c r="K20" i="17"/>
  <c r="M20" i="17"/>
  <c r="K15" i="17"/>
  <c r="M15" i="17" s="1"/>
  <c r="K13" i="17"/>
  <c r="M13" i="17" s="1"/>
  <c r="K24" i="17"/>
  <c r="M24" i="17" s="1"/>
  <c r="H448" i="5"/>
  <c r="Z503" i="5"/>
  <c r="AC503" i="5" s="1"/>
  <c r="AD503" i="5" s="1"/>
  <c r="Z502" i="5"/>
  <c r="AC502" i="5"/>
  <c r="AD502" i="5" s="1"/>
  <c r="Z501" i="5"/>
  <c r="AC501" i="5" s="1"/>
  <c r="AD501" i="5" s="1"/>
  <c r="Z500" i="5"/>
  <c r="AC500" i="5" s="1"/>
  <c r="AD500" i="5" s="1"/>
  <c r="C500" i="5"/>
  <c r="Z499" i="5"/>
  <c r="AC499" i="5" s="1"/>
  <c r="AD499" i="5" s="1"/>
  <c r="C499" i="5"/>
  <c r="Z498" i="5"/>
  <c r="AC498" i="5" s="1"/>
  <c r="AD498" i="5" s="1"/>
  <c r="C498" i="5"/>
  <c r="C497" i="5"/>
  <c r="Z496" i="5"/>
  <c r="AC496" i="5" s="1"/>
  <c r="AD496" i="5" s="1"/>
  <c r="C496" i="5"/>
  <c r="Z495" i="5"/>
  <c r="AC495" i="5" s="1"/>
  <c r="AD495" i="5" s="1"/>
  <c r="Z494" i="5"/>
  <c r="AC494" i="5" s="1"/>
  <c r="AD494" i="5" s="1"/>
  <c r="Z493" i="5"/>
  <c r="AC493" i="5" s="1"/>
  <c r="AD493" i="5" s="1"/>
  <c r="Z492" i="5"/>
  <c r="AC492" i="5" s="1"/>
  <c r="AD492" i="5" s="1"/>
  <c r="Z488" i="5"/>
  <c r="AC488" i="5" s="1"/>
  <c r="AD488" i="5"/>
  <c r="Z487" i="5"/>
  <c r="AC487" i="5" s="1"/>
  <c r="AD487" i="5" s="1"/>
  <c r="Z486" i="5"/>
  <c r="AC486" i="5" s="1"/>
  <c r="AD486" i="5" s="1"/>
  <c r="Z485" i="5"/>
  <c r="AC485" i="5"/>
  <c r="AD485" i="5" s="1"/>
  <c r="Z484" i="5"/>
  <c r="AC484" i="5" s="1"/>
  <c r="AD484" i="5" s="1"/>
  <c r="H466" i="5"/>
  <c r="E468" i="5"/>
  <c r="E467" i="5"/>
  <c r="E466" i="5"/>
  <c r="E469" i="5" s="1"/>
  <c r="Z407" i="5"/>
  <c r="AC407" i="5" s="1"/>
  <c r="AD407" i="5" s="1"/>
  <c r="Z406" i="5"/>
  <c r="AC406" i="5" s="1"/>
  <c r="AD406" i="5" s="1"/>
  <c r="Z405" i="5"/>
  <c r="AC405" i="5" s="1"/>
  <c r="AD405" i="5" s="1"/>
  <c r="Z399" i="5"/>
  <c r="AC399" i="5" s="1"/>
  <c r="AD399" i="5" s="1"/>
  <c r="Z310" i="5"/>
  <c r="AC310" i="5" s="1"/>
  <c r="AD310" i="5" s="1"/>
  <c r="Z309" i="5"/>
  <c r="AC309" i="5" s="1"/>
  <c r="AD309" i="5" s="1"/>
  <c r="Z308" i="5"/>
  <c r="AC308" i="5" s="1"/>
  <c r="AD308" i="5" s="1"/>
  <c r="Z307" i="5"/>
  <c r="AC307" i="5" s="1"/>
  <c r="AD307" i="5" s="1"/>
  <c r="Z306" i="5"/>
  <c r="AC306" i="5" s="1"/>
  <c r="AD306" i="5" s="1"/>
  <c r="Z305" i="5"/>
  <c r="AC305" i="5" s="1"/>
  <c r="AD305" i="5" s="1"/>
  <c r="Z304" i="5"/>
  <c r="AC304" i="5" s="1"/>
  <c r="AD304" i="5" s="1"/>
  <c r="Z303" i="5"/>
  <c r="AC303" i="5" s="1"/>
  <c r="AD303" i="5" s="1"/>
  <c r="Z302" i="5"/>
  <c r="AC302" i="5" s="1"/>
  <c r="AD302" i="5" s="1"/>
  <c r="Z301" i="5"/>
  <c r="AC301" i="5" s="1"/>
  <c r="AD301" i="5" s="1"/>
  <c r="Z300" i="5"/>
  <c r="AC300" i="5" s="1"/>
  <c r="AD300" i="5" s="1"/>
  <c r="Z299" i="5"/>
  <c r="AC299" i="5" s="1"/>
  <c r="AD299" i="5" s="1"/>
  <c r="Z295" i="5"/>
  <c r="AC295" i="5" s="1"/>
  <c r="AD295" i="5" s="1"/>
  <c r="AA268" i="5"/>
  <c r="AD268" i="5" s="1"/>
  <c r="AE268" i="5" s="1"/>
  <c r="J268" i="5"/>
  <c r="I499" i="5" s="1"/>
  <c r="I268" i="5"/>
  <c r="H499" i="5" s="1"/>
  <c r="H268" i="5"/>
  <c r="G499" i="5"/>
  <c r="G268" i="5"/>
  <c r="F499" i="5" s="1"/>
  <c r="F268" i="5"/>
  <c r="E499" i="5" s="1"/>
  <c r="E268" i="5"/>
  <c r="D499" i="5" s="1"/>
  <c r="Z267" i="5"/>
  <c r="AC267" i="5"/>
  <c r="AD267" i="5" s="1"/>
  <c r="AA266" i="5"/>
  <c r="AD266" i="5"/>
  <c r="AE266" i="5" s="1"/>
  <c r="AA265" i="5"/>
  <c r="AD265" i="5" s="1"/>
  <c r="AE265" i="5" s="1"/>
  <c r="AA264" i="5"/>
  <c r="AD264" i="5"/>
  <c r="AE264" i="5" s="1"/>
  <c r="AA263" i="5"/>
  <c r="AD263" i="5"/>
  <c r="AE263" i="5" s="1"/>
  <c r="AA262" i="5"/>
  <c r="AD262" i="5" s="1"/>
  <c r="AE262" i="5" s="1"/>
  <c r="AA261" i="5"/>
  <c r="AD261" i="5" s="1"/>
  <c r="AE261" i="5" s="1"/>
  <c r="AA260" i="5"/>
  <c r="AD260" i="5" s="1"/>
  <c r="AE260" i="5" s="1"/>
  <c r="Z259" i="5"/>
  <c r="AC259" i="5"/>
  <c r="AD259" i="5" s="1"/>
  <c r="Z258" i="5"/>
  <c r="AC258" i="5" s="1"/>
  <c r="AD258" i="5" s="1"/>
  <c r="Z257" i="5"/>
  <c r="AC257" i="5" s="1"/>
  <c r="AD257" i="5" s="1"/>
  <c r="Z253" i="5"/>
  <c r="AC253" i="5" s="1"/>
  <c r="AD253" i="5" s="1"/>
  <c r="Z214" i="5"/>
  <c r="AC214" i="5"/>
  <c r="AD214" i="5" s="1"/>
  <c r="Z212" i="5"/>
  <c r="AC212" i="5"/>
  <c r="AD212" i="5" s="1"/>
  <c r="Z211" i="5"/>
  <c r="AC211" i="5" s="1"/>
  <c r="AD211" i="5" s="1"/>
  <c r="Z210" i="5"/>
  <c r="AC210" i="5"/>
  <c r="AD210" i="5" s="1"/>
  <c r="Z221" i="5"/>
  <c r="AC221" i="5"/>
  <c r="AD221" i="5" s="1"/>
  <c r="Z223" i="5"/>
  <c r="AC223" i="5"/>
  <c r="AD223" i="5" s="1"/>
  <c r="Z209" i="5"/>
  <c r="AC209" i="5" s="1"/>
  <c r="AD209" i="5" s="1"/>
  <c r="Z208" i="5"/>
  <c r="AC208" i="5"/>
  <c r="AD208" i="5" s="1"/>
  <c r="Z207" i="5"/>
  <c r="AC207" i="5"/>
  <c r="AD207" i="5" s="1"/>
  <c r="Z206" i="5"/>
  <c r="AC206" i="5" s="1"/>
  <c r="AD206" i="5" s="1"/>
  <c r="Z205" i="5"/>
  <c r="AC205" i="5" s="1"/>
  <c r="AD205" i="5" s="1"/>
  <c r="Z203" i="5"/>
  <c r="AC203" i="5" s="1"/>
  <c r="AD203" i="5" s="1"/>
  <c r="Z135" i="5"/>
  <c r="AC135" i="5"/>
  <c r="AD135" i="5" s="1"/>
  <c r="Z134" i="5"/>
  <c r="AC134" i="5" s="1"/>
  <c r="AD134" i="5" s="1"/>
  <c r="Z133" i="5"/>
  <c r="AC133" i="5" s="1"/>
  <c r="AD133" i="5" s="1"/>
  <c r="Z132" i="5"/>
  <c r="AC132" i="5" s="1"/>
  <c r="AD132" i="5" s="1"/>
  <c r="Z131" i="5"/>
  <c r="AC131" i="5"/>
  <c r="AD131" i="5" s="1"/>
  <c r="Z130" i="5"/>
  <c r="AC130" i="5"/>
  <c r="AD130" i="5" s="1"/>
  <c r="Z129" i="5"/>
  <c r="AC129" i="5" s="1"/>
  <c r="AD129" i="5" s="1"/>
  <c r="Z128" i="5"/>
  <c r="AC128" i="5"/>
  <c r="AD128" i="5" s="1"/>
  <c r="Z127" i="5"/>
  <c r="AC127" i="5"/>
  <c r="AD127" i="5" s="1"/>
  <c r="Z126" i="5"/>
  <c r="AC126" i="5"/>
  <c r="AD126" i="5" s="1"/>
  <c r="Z125" i="5"/>
  <c r="AC125" i="5" s="1"/>
  <c r="AD125" i="5" s="1"/>
  <c r="V125" i="5"/>
  <c r="Z124" i="5"/>
  <c r="AC124" i="5" s="1"/>
  <c r="AD124" i="5" s="1"/>
  <c r="V124" i="5"/>
  <c r="Z123" i="5"/>
  <c r="AC123" i="5" s="1"/>
  <c r="AD123" i="5" s="1"/>
  <c r="V123" i="5"/>
  <c r="Z122" i="5"/>
  <c r="AC122" i="5" s="1"/>
  <c r="AD122" i="5" s="1"/>
  <c r="V122" i="5"/>
  <c r="Z121" i="5"/>
  <c r="AC121" i="5" s="1"/>
  <c r="AD121" i="5" s="1"/>
  <c r="V121" i="5"/>
  <c r="Z120" i="5"/>
  <c r="AC120" i="5" s="1"/>
  <c r="AD120" i="5" s="1"/>
  <c r="V120" i="5"/>
  <c r="Z119" i="5"/>
  <c r="AC119" i="5" s="1"/>
  <c r="AD119" i="5" s="1"/>
  <c r="V119" i="5"/>
  <c r="Z118" i="5"/>
  <c r="AC118" i="5" s="1"/>
  <c r="AD118" i="5" s="1"/>
  <c r="V118" i="5"/>
  <c r="Z117" i="5"/>
  <c r="AC117" i="5" s="1"/>
  <c r="AD117" i="5" s="1"/>
  <c r="V117" i="5"/>
  <c r="Z116" i="5"/>
  <c r="AC116" i="5" s="1"/>
  <c r="AD116" i="5" s="1"/>
  <c r="V116" i="5"/>
  <c r="Z114" i="5"/>
  <c r="AC114" i="5" s="1"/>
  <c r="AD114" i="5" s="1"/>
  <c r="V114" i="5"/>
  <c r="Z115" i="5"/>
  <c r="AC115" i="5" s="1"/>
  <c r="AD115" i="5" s="1"/>
  <c r="V115" i="5"/>
  <c r="Z113" i="5"/>
  <c r="AC113" i="5" s="1"/>
  <c r="AD113" i="5" s="1"/>
  <c r="V113" i="5"/>
  <c r="Z112" i="5"/>
  <c r="AC112" i="5" s="1"/>
  <c r="AD112" i="5" s="1"/>
  <c r="Z111" i="5"/>
  <c r="AC111" i="5"/>
  <c r="AD111" i="5" s="1"/>
  <c r="Z110" i="5"/>
  <c r="AC110" i="5"/>
  <c r="AD110" i="5" s="1"/>
  <c r="Z109" i="5"/>
  <c r="AC109" i="5" s="1"/>
  <c r="AD109" i="5" s="1"/>
  <c r="Z108" i="5"/>
  <c r="AC108" i="5" s="1"/>
  <c r="AD108" i="5" s="1"/>
  <c r="Z41" i="5"/>
  <c r="AC41" i="5"/>
  <c r="AD41" i="5" s="1"/>
  <c r="Z40" i="5"/>
  <c r="AC40" i="5"/>
  <c r="AD40" i="5" s="1"/>
  <c r="Z39" i="5"/>
  <c r="AC39" i="5"/>
  <c r="AD39" i="5" s="1"/>
  <c r="Z31" i="5"/>
  <c r="AC31" i="5" s="1"/>
  <c r="AD31" i="5" s="1"/>
  <c r="Z30" i="5"/>
  <c r="AC30" i="5" s="1"/>
  <c r="AD30" i="5" s="1"/>
  <c r="Z29" i="5"/>
  <c r="AC29" i="5" s="1"/>
  <c r="AD29" i="5" s="1"/>
  <c r="Z28" i="5"/>
  <c r="AC28" i="5"/>
  <c r="AD28" i="5" s="1"/>
  <c r="Z27" i="5"/>
  <c r="AC27" i="5" s="1"/>
  <c r="AD27" i="5" s="1"/>
  <c r="Z26" i="5"/>
  <c r="AC26" i="5"/>
  <c r="AD26" i="5" s="1"/>
  <c r="Z24" i="5"/>
  <c r="AC24" i="5"/>
  <c r="AD24" i="5" s="1"/>
  <c r="Z23" i="5"/>
  <c r="AC23" i="5"/>
  <c r="AD23" i="5" s="1"/>
  <c r="Z22" i="5"/>
  <c r="AC22" i="5" s="1"/>
  <c r="AD22" i="5" s="1"/>
  <c r="Z21" i="5"/>
  <c r="AC21" i="5" s="1"/>
  <c r="AD21" i="5" s="1"/>
  <c r="Z20" i="5"/>
  <c r="AC20" i="5" s="1"/>
  <c r="AD20" i="5" s="1"/>
  <c r="Z19" i="5"/>
  <c r="AC19" i="5"/>
  <c r="AD19" i="5" s="1"/>
  <c r="Z18" i="5"/>
  <c r="AC18" i="5" s="1"/>
  <c r="AD18" i="5" s="1"/>
  <c r="Z16" i="5"/>
  <c r="AC16" i="5"/>
  <c r="AD16" i="5" s="1"/>
  <c r="Z15" i="5"/>
  <c r="AC15" i="5"/>
  <c r="AD15" i="5" s="1"/>
  <c r="Z14" i="5"/>
  <c r="AC14" i="5"/>
  <c r="AD14" i="5" s="1"/>
  <c r="Z13" i="5"/>
  <c r="AC13" i="5" s="1"/>
  <c r="AD13" i="5" s="1"/>
  <c r="Z12" i="5"/>
  <c r="AC12" i="5" s="1"/>
  <c r="AD12" i="5" s="1"/>
  <c r="Z11" i="5"/>
  <c r="AC11" i="5" s="1"/>
  <c r="AD11" i="5" s="1"/>
  <c r="Z10" i="5"/>
  <c r="AC10" i="5"/>
  <c r="AD10" i="5" s="1"/>
  <c r="Z9" i="5"/>
  <c r="AC9" i="5" s="1"/>
  <c r="AD9" i="5" s="1"/>
  <c r="Z8" i="5"/>
  <c r="AC8" i="5"/>
  <c r="AD8" i="5" s="1"/>
  <c r="Z7" i="5"/>
  <c r="AC7" i="5"/>
  <c r="AD7" i="5" s="1"/>
  <c r="Z6" i="5"/>
  <c r="AC6" i="5"/>
  <c r="AD6" i="5" s="1"/>
  <c r="Z5" i="5"/>
  <c r="AC5" i="5" s="1"/>
  <c r="AD5" i="5" s="1"/>
  <c r="DL25" i="4"/>
  <c r="BZ25" i="4"/>
  <c r="HH24" i="4"/>
  <c r="I218" i="5"/>
  <c r="HF24" i="4"/>
  <c r="I222" i="5" s="1"/>
  <c r="HE24" i="4"/>
  <c r="I223" i="5" s="1"/>
  <c r="FQ24" i="4"/>
  <c r="G225" i="5" s="1"/>
  <c r="G210" i="5" s="1"/>
  <c r="FM24" i="4"/>
  <c r="G222" i="5"/>
  <c r="FL24" i="4"/>
  <c r="G223" i="5" s="1"/>
  <c r="FH24" i="4"/>
  <c r="F225" i="5" s="1"/>
  <c r="F210" i="5" s="1"/>
  <c r="FD24" i="4"/>
  <c r="F222" i="5" s="1"/>
  <c r="FC24" i="4"/>
  <c r="F223" i="5"/>
  <c r="EY24" i="4"/>
  <c r="E225" i="5" s="1"/>
  <c r="E210" i="5" s="1"/>
  <c r="EU24" i="4"/>
  <c r="E222" i="5" s="1"/>
  <c r="ET24" i="4"/>
  <c r="E223" i="5" s="1"/>
  <c r="EP24" i="4"/>
  <c r="D225" i="5"/>
  <c r="D210" i="5" s="1"/>
  <c r="EL24" i="4"/>
  <c r="D222" i="5" s="1"/>
  <c r="EK24" i="4"/>
  <c r="D223" i="5" s="1"/>
  <c r="HC24" i="4"/>
  <c r="I220" i="5" s="1"/>
  <c r="AM3" i="4"/>
  <c r="CI26" i="4" s="1"/>
  <c r="EW24" i="4"/>
  <c r="E218" i="5" s="1"/>
  <c r="ES24" i="4"/>
  <c r="E221" i="5"/>
  <c r="EM24" i="4"/>
  <c r="D219" i="5" s="1"/>
  <c r="FG24" i="4"/>
  <c r="F211" i="5" s="1"/>
  <c r="EV24" i="4"/>
  <c r="E219" i="5" s="1"/>
  <c r="EN24" i="4"/>
  <c r="D218" i="5"/>
  <c r="EJ24" i="4"/>
  <c r="D221" i="5" s="1"/>
  <c r="FN24" i="4"/>
  <c r="G219" i="5" s="1"/>
  <c r="E413" i="5" s="1"/>
  <c r="F413" i="5" s="1"/>
  <c r="D411" i="5"/>
  <c r="D421" i="5" s="1"/>
  <c r="I33" i="5"/>
  <c r="H33" i="5"/>
  <c r="G33" i="5"/>
  <c r="E33" i="5"/>
  <c r="E29" i="5"/>
  <c r="M193" i="17"/>
  <c r="O191" i="17"/>
  <c r="O181" i="17"/>
  <c r="Q187" i="17"/>
  <c r="O184" i="17"/>
  <c r="O177" i="17"/>
  <c r="Q178" i="17"/>
  <c r="Q184" i="17"/>
  <c r="S186" i="17"/>
  <c r="J110" i="17"/>
  <c r="K110" i="17" s="1"/>
  <c r="O178" i="17"/>
  <c r="S193" i="17"/>
  <c r="M180" i="17"/>
  <c r="S179" i="17"/>
  <c r="Q179" i="17"/>
  <c r="Q192" i="17"/>
  <c r="Q182" i="17"/>
  <c r="Q185" i="17"/>
  <c r="S188" i="17"/>
  <c r="O186" i="17"/>
  <c r="S185" i="17"/>
  <c r="S183" i="17"/>
  <c r="M184" i="17"/>
  <c r="M183" i="17"/>
  <c r="S45" i="17"/>
  <c r="T45" i="17" s="1"/>
  <c r="J51" i="17"/>
  <c r="K51" i="17" s="1"/>
  <c r="J109" i="17"/>
  <c r="K109" i="17" s="1"/>
  <c r="S192" i="17"/>
  <c r="O190" i="17"/>
  <c r="M189" i="17"/>
  <c r="S189" i="17"/>
  <c r="O187" i="17"/>
  <c r="M186" i="17"/>
  <c r="S191" i="17"/>
  <c r="S178" i="17"/>
  <c r="Q193" i="17"/>
  <c r="M191" i="17"/>
  <c r="M192" i="17"/>
  <c r="J44" i="17"/>
  <c r="K44" i="17"/>
  <c r="S184" i="17"/>
  <c r="Q183" i="17"/>
  <c r="M181" i="17"/>
  <c r="S181" i="17"/>
  <c r="Q180" i="17"/>
  <c r="M178" i="17"/>
  <c r="M177" i="17"/>
  <c r="Q190" i="17"/>
  <c r="S177" i="17"/>
  <c r="O192" i="17"/>
  <c r="S187" i="17"/>
  <c r="T187" i="17" s="1"/>
  <c r="S48" i="17"/>
  <c r="T48" i="17" s="1"/>
  <c r="U93" i="17"/>
  <c r="E96" i="17"/>
  <c r="F96" i="17" s="1"/>
  <c r="H96" i="17" s="1"/>
  <c r="E97" i="17"/>
  <c r="F97" i="17" s="1"/>
  <c r="H97" i="17" s="1"/>
  <c r="E108" i="17"/>
  <c r="F108" i="17" s="1"/>
  <c r="H108" i="17" s="1"/>
  <c r="E94" i="17"/>
  <c r="F94" i="17" s="1"/>
  <c r="E104" i="17"/>
  <c r="F104" i="17" s="1"/>
  <c r="H104" i="17" s="1"/>
  <c r="E103" i="17"/>
  <c r="F103" i="17" s="1"/>
  <c r="H103" i="17" s="1"/>
  <c r="E101" i="17"/>
  <c r="F101" i="17" s="1"/>
  <c r="H101" i="17" s="1"/>
  <c r="J52" i="17"/>
  <c r="K52" i="17" s="1"/>
  <c r="J53" i="17"/>
  <c r="K53" i="17" s="1"/>
  <c r="S102" i="17"/>
  <c r="T102" i="17" s="1"/>
  <c r="Q181" i="17"/>
  <c r="S100" i="17"/>
  <c r="T100" i="17"/>
  <c r="J43" i="17"/>
  <c r="K43" i="17" s="1"/>
  <c r="E52" i="17"/>
  <c r="F52" i="17" s="1"/>
  <c r="H52" i="17" s="1"/>
  <c r="E51" i="17"/>
  <c r="F51" i="17" s="1"/>
  <c r="H51" i="17" s="1"/>
  <c r="E43" i="17"/>
  <c r="F43" i="17" s="1"/>
  <c r="H43" i="17" s="1"/>
  <c r="E38" i="17"/>
  <c r="F38" i="17" s="1"/>
  <c r="E42" i="17"/>
  <c r="F42" i="17" s="1"/>
  <c r="H42" i="17" s="1"/>
  <c r="E40" i="17"/>
  <c r="F40" i="17" s="1"/>
  <c r="H40" i="17" s="1"/>
  <c r="E49" i="17"/>
  <c r="F49" i="17" s="1"/>
  <c r="H49" i="17" s="1"/>
  <c r="E48" i="17"/>
  <c r="F48" i="17" s="1"/>
  <c r="H48" i="17" s="1"/>
  <c r="E45" i="17"/>
  <c r="F45" i="17" s="1"/>
  <c r="H45" i="17" s="1"/>
  <c r="E47" i="17"/>
  <c r="F47" i="17" s="1"/>
  <c r="H47" i="17" s="1"/>
  <c r="E44" i="17"/>
  <c r="F44" i="17" s="1"/>
  <c r="H44" i="17" s="1"/>
  <c r="E53" i="17"/>
  <c r="F53" i="17" s="1"/>
  <c r="H53" i="17" s="1"/>
  <c r="L11" i="19"/>
  <c r="L10" i="19"/>
  <c r="L6" i="19"/>
  <c r="L5" i="19"/>
  <c r="J101" i="17"/>
  <c r="K101" i="17" s="1"/>
  <c r="J103" i="17"/>
  <c r="K103" i="17" s="1"/>
  <c r="S109" i="17"/>
  <c r="T109" i="17" s="1"/>
  <c r="S94" i="17"/>
  <c r="S112" i="17" s="1"/>
  <c r="Q224" i="17"/>
  <c r="S190" i="17"/>
  <c r="K26" i="17"/>
  <c r="M26" i="17" s="1"/>
  <c r="J94" i="17"/>
  <c r="K94" i="17" s="1"/>
  <c r="J108" i="17"/>
  <c r="K108" i="17" s="1"/>
  <c r="J95" i="17"/>
  <c r="K95" i="17" s="1"/>
  <c r="S101" i="17"/>
  <c r="T101" i="17" s="1"/>
  <c r="S103" i="17"/>
  <c r="T103" i="17" s="1"/>
  <c r="F195" i="17"/>
  <c r="M179" i="17"/>
  <c r="J102" i="17"/>
  <c r="K102" i="17" s="1"/>
  <c r="S110" i="17"/>
  <c r="T110" i="17" s="1"/>
  <c r="S108" i="17"/>
  <c r="T108" i="17" s="1"/>
  <c r="O188" i="17"/>
  <c r="L9" i="19"/>
  <c r="P39" i="17"/>
  <c r="Q39" i="17" s="1"/>
  <c r="P42" i="17"/>
  <c r="Q42" i="17" s="1"/>
  <c r="P47" i="17"/>
  <c r="Q47" i="17" s="1"/>
  <c r="S42" i="17"/>
  <c r="T42" i="17" s="1"/>
  <c r="S50" i="17"/>
  <c r="T50" i="17" s="1"/>
  <c r="S46" i="17"/>
  <c r="T46" i="17" s="1"/>
  <c r="S44" i="17"/>
  <c r="T44" i="17" s="1"/>
  <c r="S40" i="17"/>
  <c r="T40" i="17" s="1"/>
  <c r="S49" i="17"/>
  <c r="T49" i="17" s="1"/>
  <c r="S54" i="17"/>
  <c r="T54" i="17" s="1"/>
  <c r="S53" i="17"/>
  <c r="T53" i="17" s="1"/>
  <c r="S41" i="17"/>
  <c r="T41" i="17" s="1"/>
  <c r="S43" i="17"/>
  <c r="T43" i="17" s="1"/>
  <c r="S52" i="17"/>
  <c r="T52" i="17" s="1"/>
  <c r="S51" i="17"/>
  <c r="T51" i="17" s="1"/>
  <c r="S38" i="17"/>
  <c r="S47" i="17"/>
  <c r="T47" i="17" s="1"/>
  <c r="J39" i="17"/>
  <c r="K39" i="17" s="1"/>
  <c r="J38" i="17"/>
  <c r="K38" i="17" s="1"/>
  <c r="J50" i="17"/>
  <c r="K50" i="17" s="1"/>
  <c r="J42" i="17"/>
  <c r="K42" i="17" s="1"/>
  <c r="J49" i="17"/>
  <c r="K49" i="17" s="1"/>
  <c r="J41" i="17"/>
  <c r="K41" i="17" s="1"/>
  <c r="J48" i="17"/>
  <c r="K48" i="17" s="1"/>
  <c r="J40" i="17"/>
  <c r="K40" i="17" s="1"/>
  <c r="J47" i="17"/>
  <c r="K47" i="17" s="1"/>
  <c r="M54" i="17"/>
  <c r="N54" i="17" s="1"/>
  <c r="M42" i="17"/>
  <c r="N42" i="17" s="1"/>
  <c r="M41" i="17"/>
  <c r="N41" i="17" s="1"/>
  <c r="M48" i="17"/>
  <c r="N48" i="17" s="1"/>
  <c r="M40" i="17"/>
  <c r="N40" i="17" s="1"/>
  <c r="M51" i="17"/>
  <c r="N51" i="17" s="1"/>
  <c r="M43" i="17"/>
  <c r="N43" i="17" s="1"/>
  <c r="J99" i="17"/>
  <c r="K99" i="17" s="1"/>
  <c r="J107" i="17"/>
  <c r="K107" i="17" s="1"/>
  <c r="J96" i="17"/>
  <c r="J104" i="17"/>
  <c r="K104" i="17" s="1"/>
  <c r="J97" i="17"/>
  <c r="K97" i="17" s="1"/>
  <c r="J105" i="17"/>
  <c r="K105" i="17" s="1"/>
  <c r="J98" i="17"/>
  <c r="K98" i="17" s="1"/>
  <c r="J106" i="17"/>
  <c r="K106" i="17" s="1"/>
  <c r="S99" i="17"/>
  <c r="T99" i="17" s="1"/>
  <c r="S107" i="17"/>
  <c r="T107" i="17" s="1"/>
  <c r="S96" i="17"/>
  <c r="S104" i="17"/>
  <c r="T104" i="17"/>
  <c r="S97" i="17"/>
  <c r="T97" i="17"/>
  <c r="S105" i="17"/>
  <c r="T105" i="17"/>
  <c r="S98" i="17"/>
  <c r="T98" i="17"/>
  <c r="S106" i="17"/>
  <c r="T106" i="17"/>
  <c r="M102" i="17"/>
  <c r="N102" i="17" s="1"/>
  <c r="T176" i="17"/>
  <c r="E106" i="17"/>
  <c r="F106" i="17"/>
  <c r="H106" i="17" s="1"/>
  <c r="E105" i="17"/>
  <c r="F105" i="17" s="1"/>
  <c r="H105" i="17" s="1"/>
  <c r="E95" i="17"/>
  <c r="F95" i="17" s="1"/>
  <c r="H95" i="17" s="1"/>
  <c r="E110" i="17"/>
  <c r="F110" i="17" s="1"/>
  <c r="H110" i="17" s="1"/>
  <c r="E107" i="17"/>
  <c r="F107" i="17"/>
  <c r="H107" i="17" s="1"/>
  <c r="E109" i="17"/>
  <c r="F109" i="17" s="1"/>
  <c r="H109" i="17" s="1"/>
  <c r="E99" i="17"/>
  <c r="F99" i="17" s="1"/>
  <c r="H99" i="17" s="1"/>
  <c r="E100" i="17"/>
  <c r="F100" i="17" s="1"/>
  <c r="H100" i="17" s="1"/>
  <c r="G175" i="17"/>
  <c r="H175" i="17"/>
  <c r="D170" i="17"/>
  <c r="D171" i="17"/>
  <c r="P101" i="17"/>
  <c r="Q101" i="17" s="1"/>
  <c r="P102" i="17"/>
  <c r="Q102" i="17" s="1"/>
  <c r="U102" i="17" s="1"/>
  <c r="W102" i="17" s="1"/>
  <c r="S180" i="17"/>
  <c r="O180" i="17"/>
  <c r="S182" i="17"/>
  <c r="M187" i="17"/>
  <c r="E450" i="5"/>
  <c r="GE24" i="4"/>
  <c r="H222" i="5"/>
  <c r="Z24" i="4"/>
  <c r="EX24" i="4"/>
  <c r="E211" i="5" s="1"/>
  <c r="HJ24" i="4"/>
  <c r="I225" i="5" s="1"/>
  <c r="I210" i="5" s="1"/>
  <c r="FE24" i="4"/>
  <c r="F219" i="5" s="1"/>
  <c r="GC24" i="4"/>
  <c r="H221" i="5" s="1"/>
  <c r="EO24" i="4"/>
  <c r="D211" i="5" s="1"/>
  <c r="EI24" i="4"/>
  <c r="HI24" i="4"/>
  <c r="I211" i="5" s="1"/>
  <c r="GD24" i="4"/>
  <c r="H223" i="5" s="1"/>
  <c r="FA24" i="4"/>
  <c r="F220" i="5" s="1"/>
  <c r="FP24" i="4"/>
  <c r="G211" i="5" s="1"/>
  <c r="HG24" i="4"/>
  <c r="I219" i="5" s="1"/>
  <c r="I212" i="5" s="1"/>
  <c r="GH24" i="4"/>
  <c r="H211" i="5" s="1"/>
  <c r="HD24" i="4"/>
  <c r="I221" i="5" s="1"/>
  <c r="FJ24" i="4"/>
  <c r="FO24" i="4"/>
  <c r="GG24" i="4"/>
  <c r="H218" i="5" s="1"/>
  <c r="FK24" i="4"/>
  <c r="G221" i="5" s="1"/>
  <c r="FB24" i="4"/>
  <c r="F221" i="5" s="1"/>
  <c r="GI24" i="4"/>
  <c r="H225" i="5" s="1"/>
  <c r="H210" i="5" s="1"/>
  <c r="GF24" i="4"/>
  <c r="H219" i="5"/>
  <c r="E24" i="4"/>
  <c r="BA24" i="4"/>
  <c r="D304" i="5" s="1"/>
  <c r="J24" i="4"/>
  <c r="D22" i="5" s="1"/>
  <c r="BE24" i="4"/>
  <c r="D115" i="5" s="1"/>
  <c r="H24" i="4"/>
  <c r="D24" i="5" s="1"/>
  <c r="AX24" i="4"/>
  <c r="D307" i="5" s="1"/>
  <c r="AZ24" i="4"/>
  <c r="D305" i="5" s="1"/>
  <c r="BD24" i="4"/>
  <c r="D114" i="5" s="1"/>
  <c r="X24" i="4"/>
  <c r="D20" i="5" s="1"/>
  <c r="P24" i="4"/>
  <c r="D19" i="5" s="1"/>
  <c r="BG24" i="4"/>
  <c r="D116" i="5" s="1"/>
  <c r="AW24" i="4"/>
  <c r="D303" i="5" s="1"/>
  <c r="AJ24" i="4"/>
  <c r="D16" i="5" s="1"/>
  <c r="U24" i="4"/>
  <c r="D31" i="5" s="1"/>
  <c r="Q24" i="4"/>
  <c r="D17" i="5" s="1"/>
  <c r="M24" i="4"/>
  <c r="D7" i="5" s="1"/>
  <c r="I24" i="4"/>
  <c r="D23" i="5" s="1"/>
  <c r="GM24" i="4"/>
  <c r="GR24" i="4"/>
  <c r="GN24" i="4"/>
  <c r="AK24" i="4"/>
  <c r="D21" i="5" s="1"/>
  <c r="R24" i="4"/>
  <c r="D6" i="5" s="1"/>
  <c r="AY24" i="4"/>
  <c r="D308" i="5" s="1"/>
  <c r="AV24" i="4"/>
  <c r="V24" i="4"/>
  <c r="D18" i="5" s="1"/>
  <c r="AA24" i="4"/>
  <c r="D10" i="5" s="1"/>
  <c r="N24" i="4"/>
  <c r="D25" i="5" s="1"/>
  <c r="F24" i="4"/>
  <c r="D26" i="5" s="1"/>
  <c r="GB24" i="4"/>
  <c r="H220" i="5" s="1"/>
  <c r="GY24" i="4"/>
  <c r="D24" i="4"/>
  <c r="D28" i="5" s="1"/>
  <c r="O24" i="4"/>
  <c r="D8" i="5" s="1"/>
  <c r="AH24" i="4"/>
  <c r="D30" i="5" s="1"/>
  <c r="G24" i="4"/>
  <c r="D15" i="5" s="1"/>
  <c r="S24" i="4"/>
  <c r="D5" i="5" s="1"/>
  <c r="AI24" i="4"/>
  <c r="D32" i="5" s="1"/>
  <c r="K24" i="4"/>
  <c r="T24" i="4"/>
  <c r="D12" i="5" s="1"/>
  <c r="L24" i="4"/>
  <c r="D14" i="5" s="1"/>
  <c r="W24" i="4"/>
  <c r="D36" i="5" s="1"/>
  <c r="GV24" i="4"/>
  <c r="GW24" i="4"/>
  <c r="HA24" i="4"/>
  <c r="GX24" i="4"/>
  <c r="BF24" i="4"/>
  <c r="GP24" i="4"/>
  <c r="D37" i="5"/>
  <c r="G218" i="5"/>
  <c r="G220" i="5"/>
  <c r="E414" i="5" s="1"/>
  <c r="T181" i="17"/>
  <c r="V181" i="17" s="1"/>
  <c r="T178" i="17"/>
  <c r="V178" i="17" s="1"/>
  <c r="T192" i="17"/>
  <c r="V192" i="17" s="1"/>
  <c r="T184" i="17"/>
  <c r="V184" i="17" s="1"/>
  <c r="FI25" i="4"/>
  <c r="V187" i="17"/>
  <c r="T38" i="17"/>
  <c r="T96" i="17"/>
  <c r="K96" i="17"/>
  <c r="T180" i="17"/>
  <c r="V180" i="17" s="1"/>
  <c r="S195" i="17"/>
  <c r="H94" i="17"/>
  <c r="FR25" i="4"/>
  <c r="BH24" i="4"/>
  <c r="HS24" i="4"/>
  <c r="J225" i="5" s="1"/>
  <c r="J210" i="5" s="1"/>
  <c r="K210" i="5" s="1"/>
  <c r="ER24" i="4"/>
  <c r="E220" i="5"/>
  <c r="D9" i="5"/>
  <c r="H36" i="5"/>
  <c r="K36" i="5"/>
  <c r="GQ24" i="4"/>
  <c r="K31" i="5"/>
  <c r="J31" i="5"/>
  <c r="EZ24" i="4"/>
  <c r="J36" i="5"/>
  <c r="G31" i="5"/>
  <c r="F31" i="5"/>
  <c r="FR24" i="4"/>
  <c r="K37" i="5"/>
  <c r="E31" i="5"/>
  <c r="GJ24" i="4"/>
  <c r="G36" i="5"/>
  <c r="GU24" i="4"/>
  <c r="I31" i="5"/>
  <c r="H31" i="5"/>
  <c r="GL24" i="4"/>
  <c r="GS25" i="4" s="1"/>
  <c r="GK24" i="4"/>
  <c r="EQ24" i="4"/>
  <c r="GO24" i="4"/>
  <c r="FI24" i="4"/>
  <c r="F36" i="5"/>
  <c r="I36" i="5"/>
  <c r="K121" i="5"/>
  <c r="M121" i="5" s="1"/>
  <c r="E412" i="5"/>
  <c r="F412" i="5" s="1"/>
  <c r="FI26" i="4"/>
  <c r="H38" i="17"/>
  <c r="FR26" i="4"/>
  <c r="E36" i="5"/>
  <c r="J30" i="5"/>
  <c r="E30" i="5"/>
  <c r="H30" i="5"/>
  <c r="K116" i="5"/>
  <c r="K128" i="5"/>
  <c r="M128" i="5" s="1"/>
  <c r="I30" i="5"/>
  <c r="K304" i="5"/>
  <c r="K122" i="5"/>
  <c r="M122" i="5" s="1"/>
  <c r="K119" i="5"/>
  <c r="M119" i="5" s="1"/>
  <c r="K125" i="5"/>
  <c r="M125" i="5" s="1"/>
  <c r="G30" i="5"/>
  <c r="K118" i="5"/>
  <c r="M118" i="5"/>
  <c r="F30" i="5"/>
  <c r="K14" i="5"/>
  <c r="K9" i="5"/>
  <c r="K130" i="5"/>
  <c r="M130" i="5" s="1"/>
  <c r="GZ24" i="4"/>
  <c r="DI24" i="4"/>
  <c r="H460" i="5" s="1"/>
  <c r="K39" i="5"/>
  <c r="GT24" i="4"/>
  <c r="K126" i="5"/>
  <c r="M126" i="5" s="1"/>
  <c r="K117" i="5"/>
  <c r="M117" i="5" s="1"/>
  <c r="K129" i="5"/>
  <c r="M129" i="5" s="1"/>
  <c r="K132" i="5"/>
  <c r="M132" i="5" s="1"/>
  <c r="K123" i="5"/>
  <c r="M123" i="5" s="1"/>
  <c r="K30" i="5"/>
  <c r="I23" i="5"/>
  <c r="F23" i="5"/>
  <c r="K19" i="5"/>
  <c r="G121" i="5"/>
  <c r="I121" i="5"/>
  <c r="E121" i="5"/>
  <c r="F121" i="5"/>
  <c r="H37" i="5"/>
  <c r="F37" i="5"/>
  <c r="I37" i="5"/>
  <c r="E37" i="5"/>
  <c r="G37" i="5"/>
  <c r="J37" i="5"/>
  <c r="J421" i="5"/>
  <c r="H21" i="5"/>
  <c r="J21" i="5"/>
  <c r="G21" i="5"/>
  <c r="K308" i="5"/>
  <c r="L308" i="5" s="1"/>
  <c r="K127" i="5"/>
  <c r="M127" i="5"/>
  <c r="F21" i="5"/>
  <c r="K23" i="5"/>
  <c r="I21" i="5"/>
  <c r="F32" i="5"/>
  <c r="J26" i="5"/>
  <c r="H14" i="5"/>
  <c r="I119" i="5"/>
  <c r="HB25" i="4"/>
  <c r="J128" i="5"/>
  <c r="J32" i="5"/>
  <c r="I116" i="5"/>
  <c r="F26" i="5"/>
  <c r="G32" i="5"/>
  <c r="H26" i="5"/>
  <c r="I26" i="5"/>
  <c r="F304" i="5"/>
  <c r="I122" i="5"/>
  <c r="J125" i="5"/>
  <c r="H125" i="5"/>
  <c r="G126" i="5"/>
  <c r="G132" i="5"/>
  <c r="I9" i="5"/>
  <c r="G9" i="5"/>
  <c r="F123" i="5"/>
  <c r="G123" i="5"/>
  <c r="G304" i="5"/>
  <c r="E130" i="5"/>
  <c r="F130" i="5"/>
  <c r="CC25" i="4"/>
  <c r="D266" i="5" s="1"/>
  <c r="J14" i="5"/>
  <c r="F129" i="5"/>
  <c r="F122" i="5"/>
  <c r="F128" i="5"/>
  <c r="G119" i="5"/>
  <c r="E119" i="5"/>
  <c r="F14" i="5"/>
  <c r="I304" i="5"/>
  <c r="G26" i="5"/>
  <c r="H116" i="5"/>
  <c r="G116" i="5"/>
  <c r="H118" i="5"/>
  <c r="G129" i="5"/>
  <c r="E117" i="5"/>
  <c r="E122" i="5"/>
  <c r="F125" i="5"/>
  <c r="G125" i="5"/>
  <c r="E126" i="5"/>
  <c r="I132" i="5"/>
  <c r="J132" i="5"/>
  <c r="K131" i="5"/>
  <c r="M131" i="5"/>
  <c r="G25" i="5"/>
  <c r="F9" i="5"/>
  <c r="I123" i="5"/>
  <c r="H129" i="5"/>
  <c r="F17" i="5"/>
  <c r="H130" i="5"/>
  <c r="J24" i="5"/>
  <c r="F24" i="5"/>
  <c r="I129" i="5"/>
  <c r="H128" i="5"/>
  <c r="J119" i="5"/>
  <c r="E304" i="5"/>
  <c r="G17" i="5"/>
  <c r="I118" i="5"/>
  <c r="G122" i="5"/>
  <c r="G118" i="5"/>
  <c r="H32" i="5"/>
  <c r="I32" i="5"/>
  <c r="J117" i="5"/>
  <c r="H117" i="5"/>
  <c r="I126" i="5"/>
  <c r="E132" i="5"/>
  <c r="J25" i="5"/>
  <c r="J118" i="5"/>
  <c r="J17" i="5"/>
  <c r="J116" i="5"/>
  <c r="E123" i="5"/>
  <c r="H17" i="5"/>
  <c r="I17" i="5"/>
  <c r="G130" i="5"/>
  <c r="K5" i="5"/>
  <c r="G24" i="5"/>
  <c r="H119" i="5"/>
  <c r="I128" i="5"/>
  <c r="G128" i="5"/>
  <c r="E128" i="5"/>
  <c r="F119" i="5"/>
  <c r="E14" i="5"/>
  <c r="J304" i="5"/>
  <c r="E129" i="5"/>
  <c r="F117" i="5"/>
  <c r="H122" i="5"/>
  <c r="J122" i="5"/>
  <c r="E125" i="5"/>
  <c r="H126" i="5"/>
  <c r="F126" i="5"/>
  <c r="H132" i="5"/>
  <c r="F25" i="5"/>
  <c r="E118" i="5"/>
  <c r="F118" i="5"/>
  <c r="E116" i="5"/>
  <c r="F116" i="5"/>
  <c r="J9" i="5"/>
  <c r="H9" i="5"/>
  <c r="J123" i="5"/>
  <c r="H123" i="5"/>
  <c r="J129" i="5"/>
  <c r="H25" i="5"/>
  <c r="I25" i="5"/>
  <c r="H304" i="5"/>
  <c r="I130" i="5"/>
  <c r="J130" i="5"/>
  <c r="I24" i="5"/>
  <c r="K25" i="5"/>
  <c r="K32" i="5"/>
  <c r="K6" i="5"/>
  <c r="IV24" i="4"/>
  <c r="F28" i="5"/>
  <c r="H28" i="5"/>
  <c r="J11" i="5"/>
  <c r="G11" i="5"/>
  <c r="K26" i="5"/>
  <c r="I16" i="5"/>
  <c r="J16" i="5"/>
  <c r="J15" i="5"/>
  <c r="H15" i="5"/>
  <c r="E17" i="5"/>
  <c r="H24" i="5"/>
  <c r="K21" i="5"/>
  <c r="F19" i="5"/>
  <c r="K8" i="5"/>
  <c r="E8" i="5"/>
  <c r="G14" i="5"/>
  <c r="H19" i="5"/>
  <c r="G28" i="5"/>
  <c r="E11" i="5"/>
  <c r="J126" i="5"/>
  <c r="K24" i="5"/>
  <c r="K17" i="5"/>
  <c r="E16" i="5"/>
  <c r="F16" i="5"/>
  <c r="F15" i="5"/>
  <c r="K124" i="5"/>
  <c r="M124" i="5" s="1"/>
  <c r="J121" i="5"/>
  <c r="E26" i="5"/>
  <c r="J8" i="5"/>
  <c r="H8" i="5"/>
  <c r="I14" i="5"/>
  <c r="G19" i="5"/>
  <c r="K28" i="5"/>
  <c r="K11" i="5"/>
  <c r="H11" i="5"/>
  <c r="G117" i="5"/>
  <c r="I125" i="5"/>
  <c r="HL24" i="4"/>
  <c r="J220" i="5" s="1"/>
  <c r="K220" i="5" s="1"/>
  <c r="H16" i="5"/>
  <c r="K15" i="5"/>
  <c r="I15" i="5"/>
  <c r="K120" i="5"/>
  <c r="M120" i="5"/>
  <c r="I6" i="5"/>
  <c r="F6" i="5"/>
  <c r="J6" i="5"/>
  <c r="G6" i="5"/>
  <c r="H6" i="5"/>
  <c r="E32" i="5"/>
  <c r="E24" i="5"/>
  <c r="E21" i="5"/>
  <c r="I8" i="5"/>
  <c r="F8" i="5"/>
  <c r="G8" i="5"/>
  <c r="I19" i="5"/>
  <c r="J19" i="5"/>
  <c r="E25" i="5"/>
  <c r="IU24" i="4"/>
  <c r="E28" i="5"/>
  <c r="F11" i="5"/>
  <c r="I11" i="5"/>
  <c r="I117" i="5"/>
  <c r="F132" i="5"/>
  <c r="K16" i="5"/>
  <c r="G16" i="5"/>
  <c r="G15" i="5"/>
  <c r="E15" i="5"/>
  <c r="H39" i="5"/>
  <c r="J39" i="5"/>
  <c r="G39" i="5"/>
  <c r="F39" i="5"/>
  <c r="E39" i="5"/>
  <c r="I39" i="5"/>
  <c r="H121" i="5"/>
  <c r="G23" i="5"/>
  <c r="I124" i="5"/>
  <c r="F124" i="5"/>
  <c r="G124" i="5"/>
  <c r="H124" i="5"/>
  <c r="E124" i="5"/>
  <c r="J124" i="5"/>
  <c r="J23" i="5"/>
  <c r="H23" i="5"/>
  <c r="J5" i="5"/>
  <c r="G5" i="5"/>
  <c r="G10" i="5"/>
  <c r="F10" i="5"/>
  <c r="G120" i="5"/>
  <c r="I131" i="5"/>
  <c r="H131" i="5"/>
  <c r="J120" i="5"/>
  <c r="E5" i="5"/>
  <c r="E41" i="5" s="1"/>
  <c r="I120" i="5"/>
  <c r="I10" i="5"/>
  <c r="H120" i="5"/>
  <c r="E120" i="5"/>
  <c r="H10" i="5"/>
  <c r="E23" i="5"/>
  <c r="I127" i="5"/>
  <c r="J127" i="5"/>
  <c r="G131" i="5"/>
  <c r="E131" i="5"/>
  <c r="I5" i="5"/>
  <c r="F127" i="5"/>
  <c r="F131" i="5"/>
  <c r="H127" i="5"/>
  <c r="J131" i="5"/>
  <c r="F5" i="5"/>
  <c r="F41" i="5" s="1"/>
  <c r="E496" i="5" s="1"/>
  <c r="I308" i="5"/>
  <c r="J308" i="5"/>
  <c r="E127" i="5"/>
  <c r="F308" i="5"/>
  <c r="F120" i="5"/>
  <c r="H308" i="5"/>
  <c r="J10" i="5"/>
  <c r="G127" i="5"/>
  <c r="H5" i="5"/>
  <c r="H41" i="5" s="1"/>
  <c r="G496" i="5" s="1"/>
  <c r="G308" i="5"/>
  <c r="K7" i="5"/>
  <c r="K10" i="5"/>
  <c r="I28" i="5"/>
  <c r="E19" i="5"/>
  <c r="E9" i="5"/>
  <c r="F7" i="5"/>
  <c r="G7" i="5"/>
  <c r="J28" i="5"/>
  <c r="E10" i="5"/>
  <c r="H7" i="5"/>
  <c r="E7" i="5"/>
  <c r="J7" i="5"/>
  <c r="I306" i="5"/>
  <c r="J306" i="5"/>
  <c r="I7" i="5"/>
  <c r="H306" i="5"/>
  <c r="F306" i="5"/>
  <c r="E306" i="5"/>
  <c r="G306" i="5"/>
  <c r="E308" i="5"/>
  <c r="G307" i="5"/>
  <c r="K306" i="5"/>
  <c r="L306" i="5" s="1"/>
  <c r="E6" i="5"/>
  <c r="J114" i="5"/>
  <c r="J135" i="5" s="1"/>
  <c r="I497" i="5" s="1"/>
  <c r="I114" i="5"/>
  <c r="I135" i="5" s="1"/>
  <c r="H497" i="5" s="1"/>
  <c r="K114" i="5"/>
  <c r="H115" i="5"/>
  <c r="F114" i="5"/>
  <c r="F135" i="5" s="1"/>
  <c r="E497" i="5" s="1"/>
  <c r="E114" i="5"/>
  <c r="E303" i="5"/>
  <c r="E310" i="5" s="1"/>
  <c r="D500" i="5" s="1"/>
  <c r="E115" i="5"/>
  <c r="J115" i="5"/>
  <c r="J22" i="5"/>
  <c r="I115" i="5"/>
  <c r="J307" i="5"/>
  <c r="G114" i="5"/>
  <c r="G135" i="5" s="1"/>
  <c r="F497" i="5" s="1"/>
  <c r="H303" i="5"/>
  <c r="E307" i="5"/>
  <c r="F303" i="5"/>
  <c r="F115" i="5"/>
  <c r="I307" i="5"/>
  <c r="H114" i="5"/>
  <c r="G22" i="5"/>
  <c r="J303" i="5"/>
  <c r="J310" i="5" s="1"/>
  <c r="I500" i="5" s="1"/>
  <c r="F307" i="5"/>
  <c r="F22" i="5"/>
  <c r="I303" i="5"/>
  <c r="H22" i="5"/>
  <c r="I22" i="5"/>
  <c r="G303" i="5"/>
  <c r="G310" i="5" s="1"/>
  <c r="F500" i="5" s="1"/>
  <c r="G115" i="5"/>
  <c r="H307" i="5"/>
  <c r="E22" i="5"/>
  <c r="K303" i="5"/>
  <c r="K22" i="5"/>
  <c r="K115" i="5"/>
  <c r="K307" i="5"/>
  <c r="L307" i="5" s="1"/>
  <c r="L304" i="5"/>
  <c r="L303" i="5"/>
  <c r="K421" i="5"/>
  <c r="IE24" i="4"/>
  <c r="ID24" i="4"/>
  <c r="ID29" i="4"/>
  <c r="J467" i="5" s="1"/>
  <c r="ID30" i="4"/>
  <c r="J468" i="5" s="1"/>
  <c r="ID28" i="4"/>
  <c r="J466" i="5"/>
  <c r="J469" i="5"/>
  <c r="HK24" i="4"/>
  <c r="H305" i="5"/>
  <c r="H310" i="5"/>
  <c r="G500" i="5" s="1"/>
  <c r="G501" i="5" s="1"/>
  <c r="J305" i="5"/>
  <c r="I305" i="5"/>
  <c r="I310" i="5"/>
  <c r="H500" i="5" s="1"/>
  <c r="G305" i="5"/>
  <c r="F305" i="5"/>
  <c r="F310" i="5"/>
  <c r="E500" i="5"/>
  <c r="E305" i="5"/>
  <c r="J133" i="5"/>
  <c r="F133" i="5"/>
  <c r="G133" i="5"/>
  <c r="E133" i="5"/>
  <c r="E135" i="5"/>
  <c r="D497" i="5" s="1"/>
  <c r="I133" i="5"/>
  <c r="H133" i="5"/>
  <c r="H135" i="5"/>
  <c r="G497" i="5" s="1"/>
  <c r="K305" i="5"/>
  <c r="H18" i="5"/>
  <c r="J18" i="5"/>
  <c r="G18" i="5"/>
  <c r="I18" i="5"/>
  <c r="K18" i="5"/>
  <c r="F18" i="5"/>
  <c r="K133" i="5"/>
  <c r="M133" i="5" s="1"/>
  <c r="L305" i="5"/>
  <c r="K310" i="5"/>
  <c r="J500" i="5" s="1"/>
  <c r="J501" i="5" s="1"/>
  <c r="L343" i="23"/>
  <c r="H13" i="5"/>
  <c r="G13" i="5"/>
  <c r="G41" i="5"/>
  <c r="F496" i="5" s="1"/>
  <c r="J13" i="5"/>
  <c r="J41" i="5"/>
  <c r="I496" i="5" s="1"/>
  <c r="I506" i="5" s="1"/>
  <c r="F13" i="5"/>
  <c r="I13" i="5"/>
  <c r="I41" i="5"/>
  <c r="H496" i="5"/>
  <c r="H501" i="5" s="1"/>
  <c r="E18" i="5"/>
  <c r="E13" i="5"/>
  <c r="D496" i="5"/>
  <c r="K13" i="5"/>
  <c r="K41" i="5"/>
  <c r="J496" i="5"/>
  <c r="K422" i="5" s="1"/>
  <c r="P15" i="5"/>
  <c r="CG25" i="4" l="1"/>
  <c r="D262" i="5" s="1"/>
  <c r="CF24" i="4"/>
  <c r="K264" i="5" s="1"/>
  <c r="L264" i="5" s="1"/>
  <c r="II24" i="4"/>
  <c r="IL24" i="4"/>
  <c r="II32" i="4" s="1"/>
  <c r="HN24" i="4"/>
  <c r="J223" i="5" s="1"/>
  <c r="K223" i="5" s="1"/>
  <c r="CC24" i="4"/>
  <c r="K266" i="5" s="1"/>
  <c r="L266" i="5" s="1"/>
  <c r="CH24" i="4"/>
  <c r="K261" i="5" s="1"/>
  <c r="CD24" i="4"/>
  <c r="K263" i="5" s="1"/>
  <c r="L263" i="5" s="1"/>
  <c r="IJ24" i="4"/>
  <c r="II30" i="4" s="1"/>
  <c r="J224" i="5"/>
  <c r="CH25" i="4"/>
  <c r="D261" i="5" s="1"/>
  <c r="CE24" i="4"/>
  <c r="K265" i="5" s="1"/>
  <c r="L265" i="5" s="1"/>
  <c r="K225" i="5"/>
  <c r="CF25" i="4"/>
  <c r="D264" i="5" s="1"/>
  <c r="CD25" i="4"/>
  <c r="D263" i="5" s="1"/>
  <c r="BB25" i="4"/>
  <c r="M114" i="5"/>
  <c r="K135" i="5"/>
  <c r="HT25" i="4"/>
  <c r="T39" i="17"/>
  <c r="S56" i="17"/>
  <c r="P97" i="17"/>
  <c r="Q97" i="17" s="1"/>
  <c r="P108" i="17"/>
  <c r="Q108" i="17" s="1"/>
  <c r="P103" i="17"/>
  <c r="Q103" i="17" s="1"/>
  <c r="U103" i="17" s="1"/>
  <c r="W103" i="17" s="1"/>
  <c r="P104" i="17"/>
  <c r="Q104" i="17" s="1"/>
  <c r="P109" i="17"/>
  <c r="Q109" i="17" s="1"/>
  <c r="P99" i="17"/>
  <c r="Q99" i="17" s="1"/>
  <c r="P95" i="17"/>
  <c r="Q95" i="17" s="1"/>
  <c r="P98" i="17"/>
  <c r="Q98" i="17" s="1"/>
  <c r="P105" i="17"/>
  <c r="Q105" i="17" s="1"/>
  <c r="P96" i="17"/>
  <c r="Q96" i="17" s="1"/>
  <c r="P94" i="17"/>
  <c r="Q94" i="17" s="1"/>
  <c r="P110" i="17"/>
  <c r="Q110" i="17" s="1"/>
  <c r="P106" i="17"/>
  <c r="Q106" i="17" s="1"/>
  <c r="P100" i="17"/>
  <c r="Q100" i="17" s="1"/>
  <c r="K268" i="5"/>
  <c r="J499" i="5" s="1"/>
  <c r="J504" i="5" s="1"/>
  <c r="D11" i="5"/>
  <c r="DG11" i="4"/>
  <c r="D501" i="5"/>
  <c r="D265" i="5"/>
  <c r="GJ25" i="4"/>
  <c r="D306" i="5"/>
  <c r="BB24" i="4"/>
  <c r="D220" i="5"/>
  <c r="EQ25" i="4"/>
  <c r="EQ26" i="4" s="1"/>
  <c r="M50" i="17"/>
  <c r="N50" i="17" s="1"/>
  <c r="M39" i="17"/>
  <c r="N39" i="17" s="1"/>
  <c r="U39" i="17" s="1"/>
  <c r="M46" i="17"/>
  <c r="N46" i="17" s="1"/>
  <c r="M49" i="17"/>
  <c r="N49" i="17" s="1"/>
  <c r="M47" i="17"/>
  <c r="N47" i="17" s="1"/>
  <c r="M38" i="17"/>
  <c r="N38" i="17" s="1"/>
  <c r="M52" i="17"/>
  <c r="N52" i="17" s="1"/>
  <c r="M44" i="17"/>
  <c r="N44" i="17" s="1"/>
  <c r="II28" i="4"/>
  <c r="E501" i="5"/>
  <c r="GJ26" i="4"/>
  <c r="G212" i="5"/>
  <c r="P45" i="17"/>
  <c r="P51" i="17"/>
  <c r="Q51" i="17" s="1"/>
  <c r="U51" i="17" s="1"/>
  <c r="W51" i="17" s="1"/>
  <c r="P41" i="17"/>
  <c r="Q41" i="17" s="1"/>
  <c r="P44" i="17"/>
  <c r="Q44" i="17" s="1"/>
  <c r="U44" i="17" s="1"/>
  <c r="W44" i="17" s="1"/>
  <c r="P54" i="17"/>
  <c r="Q54" i="17" s="1"/>
  <c r="P43" i="17"/>
  <c r="Q43" i="17" s="1"/>
  <c r="P38" i="17"/>
  <c r="Q38" i="17" s="1"/>
  <c r="U38" i="17" s="1"/>
  <c r="W38" i="17" s="1"/>
  <c r="P48" i="17"/>
  <c r="Q48" i="17" s="1"/>
  <c r="P46" i="17"/>
  <c r="Q46" i="17" s="1"/>
  <c r="P49" i="17"/>
  <c r="Q49" i="17" s="1"/>
  <c r="P53" i="17"/>
  <c r="Q53" i="17" s="1"/>
  <c r="P40" i="17"/>
  <c r="Q40" i="17" s="1"/>
  <c r="P52" i="17"/>
  <c r="Q52" i="17" s="1"/>
  <c r="P50" i="17"/>
  <c r="Q50" i="17" s="1"/>
  <c r="M95" i="17"/>
  <c r="N95" i="17" s="1"/>
  <c r="U95" i="17" s="1"/>
  <c r="W95" i="17" s="1"/>
  <c r="M96" i="17"/>
  <c r="N96" i="17" s="1"/>
  <c r="U96" i="17" s="1"/>
  <c r="W96" i="17" s="1"/>
  <c r="M97" i="17"/>
  <c r="N97" i="17" s="1"/>
  <c r="M94" i="17"/>
  <c r="M98" i="17"/>
  <c r="N98" i="17" s="1"/>
  <c r="M100" i="17"/>
  <c r="N100" i="17" s="1"/>
  <c r="M106" i="17"/>
  <c r="N106" i="17" s="1"/>
  <c r="M109" i="17"/>
  <c r="N109" i="17" s="1"/>
  <c r="M107" i="17"/>
  <c r="N107" i="17" s="1"/>
  <c r="M103" i="17"/>
  <c r="N103" i="17" s="1"/>
  <c r="M104" i="17"/>
  <c r="N104" i="17" s="1"/>
  <c r="M105" i="17"/>
  <c r="N105" i="17" s="1"/>
  <c r="M110" i="17"/>
  <c r="N110" i="17" s="1"/>
  <c r="M101" i="17"/>
  <c r="N101" i="17" s="1"/>
  <c r="U101" i="17" s="1"/>
  <c r="W101" i="17" s="1"/>
  <c r="M99" i="17"/>
  <c r="N99" i="17" s="1"/>
  <c r="M108" i="17"/>
  <c r="N108" i="17" s="1"/>
  <c r="U108" i="17" s="1"/>
  <c r="W108" i="17" s="1"/>
  <c r="U100" i="17"/>
  <c r="W100" i="17" s="1"/>
  <c r="H195" i="17"/>
  <c r="J195" i="17" s="1"/>
  <c r="HT11" i="4"/>
  <c r="DN11" i="4" s="1"/>
  <c r="AX216" i="23"/>
  <c r="BK216" i="23"/>
  <c r="K297" i="23"/>
  <c r="K313" i="23" s="1"/>
  <c r="I313" i="23"/>
  <c r="U280" i="23"/>
  <c r="U286" i="23" s="1"/>
  <c r="S286" i="23"/>
  <c r="L275" i="23"/>
  <c r="K329" i="23"/>
  <c r="L272" i="23"/>
  <c r="Q326" i="23" s="1"/>
  <c r="K286" i="23"/>
  <c r="BA256" i="23"/>
  <c r="CO256" i="23"/>
  <c r="EB256" i="23"/>
  <c r="BT256" i="23"/>
  <c r="EG256" i="23"/>
  <c r="AB256" i="23"/>
  <c r="DT256" i="23"/>
  <c r="CZ256" i="23"/>
  <c r="DY256" i="23"/>
  <c r="DW256" i="23"/>
  <c r="CC256" i="23"/>
  <c r="DM256" i="23"/>
  <c r="H506" i="5"/>
  <c r="HK25" i="4"/>
  <c r="HK26" i="4" s="1"/>
  <c r="J112" i="17"/>
  <c r="H212" i="5"/>
  <c r="H214" i="5" s="1"/>
  <c r="H498" i="5" s="1"/>
  <c r="U104" i="17"/>
  <c r="W104" i="17" s="1"/>
  <c r="U52" i="17"/>
  <c r="W52" i="17" s="1"/>
  <c r="U54" i="17"/>
  <c r="W54" i="17" s="1"/>
  <c r="T94" i="17"/>
  <c r="L333" i="23"/>
  <c r="M333" i="23" s="1"/>
  <c r="J236" i="23"/>
  <c r="EJ255" i="23"/>
  <c r="P338" i="23" s="1"/>
  <c r="EJ246" i="23"/>
  <c r="P329" i="23" s="1"/>
  <c r="R216" i="23"/>
  <c r="AP236" i="23"/>
  <c r="BV195" i="23"/>
  <c r="ED236" i="23"/>
  <c r="S216" i="23"/>
  <c r="BW236" i="23"/>
  <c r="U49" i="17"/>
  <c r="W49" i="17" s="1"/>
  <c r="E212" i="5"/>
  <c r="EJ251" i="23"/>
  <c r="P334" i="23" s="1"/>
  <c r="V195" i="23"/>
  <c r="AT236" i="23"/>
  <c r="BJ236" i="23"/>
  <c r="DJ195" i="23"/>
  <c r="AA297" i="23"/>
  <c r="Y313" i="23"/>
  <c r="AG313" i="23"/>
  <c r="Q283" i="23"/>
  <c r="K337" i="23"/>
  <c r="L337" i="23" s="1"/>
  <c r="M337" i="23" s="1"/>
  <c r="Q333" i="23"/>
  <c r="K331" i="23"/>
  <c r="L331" i="23" s="1"/>
  <c r="M331" i="23" s="1"/>
  <c r="V276" i="23"/>
  <c r="K330" i="23"/>
  <c r="L330" i="23" s="1"/>
  <c r="M330" i="23" s="1"/>
  <c r="K327" i="23"/>
  <c r="L327" i="23" s="1"/>
  <c r="M327" i="23" s="1"/>
  <c r="AJ272" i="23"/>
  <c r="K326" i="23"/>
  <c r="CU236" i="23"/>
  <c r="EJ234" i="23"/>
  <c r="E236" i="23"/>
  <c r="DL236" i="23"/>
  <c r="CZ236" i="23"/>
  <c r="BP236" i="23"/>
  <c r="BA236" i="23"/>
  <c r="Y236" i="23"/>
  <c r="AC236" i="23"/>
  <c r="CR236" i="23"/>
  <c r="M236" i="23"/>
  <c r="CB236" i="23"/>
  <c r="U43" i="17"/>
  <c r="W43" i="17" s="1"/>
  <c r="EZ25" i="4"/>
  <c r="EZ26" i="4" s="1"/>
  <c r="U105" i="17"/>
  <c r="W105" i="17" s="1"/>
  <c r="BK11" i="4"/>
  <c r="BI11" i="4"/>
  <c r="F195" i="23"/>
  <c r="F256" i="23"/>
  <c r="EA195" i="23"/>
  <c r="EJ224" i="23"/>
  <c r="EJ227" i="23"/>
  <c r="EJ206" i="23"/>
  <c r="J329" i="23" s="1"/>
  <c r="L329" i="23" s="1"/>
  <c r="M329" i="23" s="1"/>
  <c r="EJ212" i="23"/>
  <c r="J335" i="23" s="1"/>
  <c r="DN195" i="23"/>
  <c r="G236" i="23"/>
  <c r="BM256" i="23"/>
  <c r="DQ256" i="23"/>
  <c r="BY256" i="23"/>
  <c r="BH256" i="23"/>
  <c r="AQ256" i="23"/>
  <c r="K256" i="23"/>
  <c r="BS256" i="23"/>
  <c r="AC256" i="23"/>
  <c r="BI256" i="23"/>
  <c r="BE256" i="23"/>
  <c r="DA256" i="23"/>
  <c r="Q256" i="23"/>
  <c r="M256" i="23"/>
  <c r="DS256" i="23"/>
  <c r="DI256" i="23"/>
  <c r="AS256" i="23"/>
  <c r="I256" i="23"/>
  <c r="EJ245" i="23"/>
  <c r="P328" i="23" s="1"/>
  <c r="CD256" i="23"/>
  <c r="EJ247" i="23"/>
  <c r="P330" i="23" s="1"/>
  <c r="EJ233" i="23"/>
  <c r="EJ213" i="23"/>
  <c r="J336" i="23" s="1"/>
  <c r="EJ225" i="23"/>
  <c r="EJ243" i="23"/>
  <c r="P326" i="23" s="1"/>
  <c r="EJ203" i="23"/>
  <c r="J326" i="23" s="1"/>
  <c r="L326" i="23" s="1"/>
  <c r="M326" i="23" s="1"/>
  <c r="BN216" i="23"/>
  <c r="BN236" i="23"/>
  <c r="BR236" i="23"/>
  <c r="BV236" i="23"/>
  <c r="CH195" i="23"/>
  <c r="CP236" i="23"/>
  <c r="DJ216" i="23"/>
  <c r="DN236" i="23"/>
  <c r="AD286" i="23"/>
  <c r="C256" i="23"/>
  <c r="CE195" i="23"/>
  <c r="DC236" i="23"/>
  <c r="DY236" i="23"/>
  <c r="DU236" i="23"/>
  <c r="DQ236" i="23"/>
  <c r="DM236" i="23"/>
  <c r="CS236" i="23"/>
  <c r="AG236" i="23"/>
  <c r="EC236" i="23"/>
  <c r="CJ236" i="23"/>
  <c r="EG236" i="23"/>
  <c r="BX236" i="23"/>
  <c r="H236" i="23"/>
  <c r="P236" i="23"/>
  <c r="EJ205" i="23"/>
  <c r="J328" i="23" s="1"/>
  <c r="L328" i="23" s="1"/>
  <c r="M328" i="23" s="1"/>
  <c r="AL195" i="23"/>
  <c r="CT256" i="23"/>
  <c r="DB236" i="23"/>
  <c r="DF236" i="23"/>
  <c r="EH236" i="23"/>
  <c r="S195" i="23"/>
  <c r="AE216" i="23"/>
  <c r="AM236" i="23"/>
  <c r="AM195" i="23"/>
  <c r="AY236" i="23"/>
  <c r="BO256" i="23"/>
  <c r="BW195" i="23"/>
  <c r="CA195" i="23"/>
  <c r="CU195" i="23"/>
  <c r="EE236" i="23"/>
  <c r="L236" i="23"/>
  <c r="DD216" i="23"/>
  <c r="CW216" i="23"/>
  <c r="CF216" i="23"/>
  <c r="DY216" i="23"/>
  <c r="BW14" i="4"/>
  <c r="BK14" i="4"/>
  <c r="BV14" i="4"/>
  <c r="BX14" i="4"/>
  <c r="BY14" i="4"/>
  <c r="BI14" i="4"/>
  <c r="BR14" i="4"/>
  <c r="BT14" i="4"/>
  <c r="BU14" i="4"/>
  <c r="BS14" i="4"/>
  <c r="BN14" i="4"/>
  <c r="BP14" i="4"/>
  <c r="BQ14" i="4"/>
  <c r="HT16" i="4"/>
  <c r="DN16" i="4" s="1"/>
  <c r="BQ18" i="4"/>
  <c r="BI18" i="4"/>
  <c r="BM18" i="4"/>
  <c r="BJ18" i="4"/>
  <c r="BK18" i="4"/>
  <c r="BY18" i="4"/>
  <c r="BU18" i="4"/>
  <c r="BX18" i="4"/>
  <c r="BN18" i="4"/>
  <c r="BO18" i="4"/>
  <c r="BP18" i="4"/>
  <c r="BT18" i="4"/>
  <c r="BR18" i="4"/>
  <c r="BS18" i="4"/>
  <c r="Q328" i="23"/>
  <c r="K195" i="23"/>
  <c r="O216" i="23"/>
  <c r="CE256" i="23"/>
  <c r="CU256" i="23"/>
  <c r="CY236" i="23"/>
  <c r="DG216" i="23"/>
  <c r="DK236" i="23"/>
  <c r="DW236" i="23"/>
  <c r="L283" i="23"/>
  <c r="V281" i="23"/>
  <c r="Q335" i="23" s="1"/>
  <c r="Q276" i="23"/>
  <c r="Q330" i="23" s="1"/>
  <c r="V267" i="23"/>
  <c r="Q339" i="23" s="1"/>
  <c r="R339" i="23" s="1"/>
  <c r="DU256" i="23"/>
  <c r="BU15" i="4"/>
  <c r="BK15" i="4"/>
  <c r="BY15" i="4"/>
  <c r="BT15" i="4"/>
  <c r="BN15" i="4"/>
  <c r="BW15" i="4"/>
  <c r="BX15" i="4"/>
  <c r="BJ15" i="4"/>
  <c r="BP15" i="4"/>
  <c r="BV15" i="4"/>
  <c r="BL15" i="4"/>
  <c r="BM15" i="4"/>
  <c r="EH24" i="4"/>
  <c r="CA256" i="23"/>
  <c r="W256" i="23"/>
  <c r="AI236" i="23"/>
  <c r="AU256" i="23"/>
  <c r="BW216" i="23"/>
  <c r="CA216" i="23"/>
  <c r="CM256" i="23"/>
  <c r="CU216" i="23"/>
  <c r="CY256" i="23"/>
  <c r="CY195" i="23"/>
  <c r="DO256" i="23"/>
  <c r="DS216" i="23"/>
  <c r="DW195" i="23"/>
  <c r="Q284" i="23"/>
  <c r="Q338" i="23" s="1"/>
  <c r="V283" i="23"/>
  <c r="Q277" i="23"/>
  <c r="Q331" i="23" s="1"/>
  <c r="V270" i="23"/>
  <c r="Q324" i="23" s="1"/>
  <c r="V269" i="23"/>
  <c r="V268" i="23"/>
  <c r="Q322" i="23" s="1"/>
  <c r="E256" i="23"/>
  <c r="AW236" i="23"/>
  <c r="EG181" i="23"/>
  <c r="EG184" i="23"/>
  <c r="EG187" i="23"/>
  <c r="EG188" i="23"/>
  <c r="EG191" i="23"/>
  <c r="EG192" i="23"/>
  <c r="EG186" i="23"/>
  <c r="EG190" i="23"/>
  <c r="DY190" i="23"/>
  <c r="DY195" i="23" s="1"/>
  <c r="DY193" i="23"/>
  <c r="DU181" i="23"/>
  <c r="DU183" i="23"/>
  <c r="DU194" i="23"/>
  <c r="DQ183" i="23"/>
  <c r="DQ185" i="23"/>
  <c r="DI188" i="23"/>
  <c r="DI191" i="23"/>
  <c r="DI190" i="23"/>
  <c r="DE178" i="23"/>
  <c r="DE182" i="23"/>
  <c r="DE185" i="23"/>
  <c r="DE179" i="23"/>
  <c r="DE184" i="23"/>
  <c r="DE188" i="23"/>
  <c r="DE191" i="23"/>
  <c r="DE180" i="23"/>
  <c r="DE183" i="23"/>
  <c r="DE190" i="23"/>
  <c r="DA180" i="23"/>
  <c r="DA178" i="23"/>
  <c r="DA179" i="23"/>
  <c r="CW183" i="23"/>
  <c r="CW184" i="23"/>
  <c r="CW188" i="23"/>
  <c r="CW190" i="23"/>
  <c r="CW182" i="23"/>
  <c r="CW186" i="23"/>
  <c r="CW187" i="23"/>
  <c r="CW189" i="23"/>
  <c r="CO188" i="23"/>
  <c r="CO190" i="23"/>
  <c r="CO180" i="23"/>
  <c r="CO181" i="23"/>
  <c r="CO184" i="23"/>
  <c r="CO192" i="23"/>
  <c r="CO182" i="23"/>
  <c r="CO186" i="23"/>
  <c r="CO187" i="23"/>
  <c r="CO189" i="23"/>
  <c r="CK188" i="23"/>
  <c r="CK190" i="23"/>
  <c r="CK178" i="23"/>
  <c r="CK184" i="23"/>
  <c r="CK180" i="23"/>
  <c r="CK189" i="23"/>
  <c r="CG190" i="23"/>
  <c r="CG188" i="23"/>
  <c r="CG195" i="23" s="1"/>
  <c r="CC188" i="23"/>
  <c r="CC190" i="23"/>
  <c r="CC187" i="23"/>
  <c r="CC195" i="23" s="1"/>
  <c r="BY178" i="23"/>
  <c r="BY195" i="23" s="1"/>
  <c r="BY199" i="23"/>
  <c r="BY216" i="23" s="1"/>
  <c r="BY192" i="23"/>
  <c r="BU188" i="23"/>
  <c r="BU187" i="23"/>
  <c r="BU195" i="23" s="1"/>
  <c r="BU190" i="23"/>
  <c r="BQ181" i="23"/>
  <c r="BQ194" i="23"/>
  <c r="BI180" i="23"/>
  <c r="BI195" i="23" s="1"/>
  <c r="BI181" i="23"/>
  <c r="BI194" i="23"/>
  <c r="BE179" i="23"/>
  <c r="BE184" i="23"/>
  <c r="BE192" i="23"/>
  <c r="BE186" i="23"/>
  <c r="BE189" i="23"/>
  <c r="BA183" i="23"/>
  <c r="EJ183" i="23" s="1"/>
  <c r="O327" i="23" s="1"/>
  <c r="R327" i="23" s="1"/>
  <c r="S327" i="23" s="1"/>
  <c r="H327" i="23" s="1"/>
  <c r="BA188" i="23"/>
  <c r="BA189" i="23"/>
  <c r="BA181" i="23"/>
  <c r="BA193" i="23"/>
  <c r="EJ193" i="23" s="1"/>
  <c r="O337" i="23" s="1"/>
  <c r="BA179" i="23"/>
  <c r="BA185" i="23"/>
  <c r="BA190" i="23"/>
  <c r="BA191" i="23"/>
  <c r="BA194" i="23"/>
  <c r="EJ194" i="23" s="1"/>
  <c r="O338" i="23" s="1"/>
  <c r="R338" i="23" s="1"/>
  <c r="S338" i="23" s="1"/>
  <c r="H338" i="23" s="1"/>
  <c r="AW178" i="23"/>
  <c r="AW184" i="23"/>
  <c r="AW189" i="23"/>
  <c r="AS185" i="23"/>
  <c r="AS182" i="23"/>
  <c r="AS186" i="23"/>
  <c r="EJ186" i="23" s="1"/>
  <c r="O330" i="23" s="1"/>
  <c r="AS188" i="23"/>
  <c r="EJ188" i="23" s="1"/>
  <c r="O332" i="23" s="1"/>
  <c r="R332" i="23" s="1"/>
  <c r="S332" i="23" s="1"/>
  <c r="H332" i="23" s="1"/>
  <c r="AS189" i="23"/>
  <c r="EJ189" i="23" s="1"/>
  <c r="O333" i="23" s="1"/>
  <c r="R333" i="23" s="1"/>
  <c r="S333" i="23" s="1"/>
  <c r="H333" i="23" s="1"/>
  <c r="AO185" i="23"/>
  <c r="AO184" i="23"/>
  <c r="AO195" i="23" s="1"/>
  <c r="AK187" i="23"/>
  <c r="AK195" i="23" s="1"/>
  <c r="AK190" i="23"/>
  <c r="EJ190" i="23" s="1"/>
  <c r="O334" i="23" s="1"/>
  <c r="AK191" i="23"/>
  <c r="EJ191" i="23" s="1"/>
  <c r="O335" i="23" s="1"/>
  <c r="R335" i="23" s="1"/>
  <c r="S335" i="23" s="1"/>
  <c r="H335" i="23" s="1"/>
  <c r="AC179" i="23"/>
  <c r="AC195" i="23" s="1"/>
  <c r="AC180" i="23"/>
  <c r="Y179" i="23"/>
  <c r="EJ179" i="23" s="1"/>
  <c r="O323" i="23" s="1"/>
  <c r="Y178" i="23"/>
  <c r="Y199" i="23"/>
  <c r="Y216" i="23" s="1"/>
  <c r="Y192" i="23"/>
  <c r="Q180" i="23"/>
  <c r="Q181" i="23"/>
  <c r="EJ181" i="23" s="1"/>
  <c r="O325" i="23" s="1"/>
  <c r="E192" i="23"/>
  <c r="EJ192" i="23" s="1"/>
  <c r="O336" i="23" s="1"/>
  <c r="E178" i="23"/>
  <c r="E199" i="23"/>
  <c r="BO15" i="4"/>
  <c r="HT12" i="4"/>
  <c r="DG14" i="4"/>
  <c r="DF14" i="4" s="1"/>
  <c r="DE14" i="4" s="1"/>
  <c r="F448" i="5"/>
  <c r="DH16" i="4"/>
  <c r="DG16" i="4" s="1"/>
  <c r="DF16" i="4" s="1"/>
  <c r="DE16" i="4" s="1"/>
  <c r="DJ16" i="4" s="1"/>
  <c r="DK16" i="4" s="1"/>
  <c r="DH17" i="4"/>
  <c r="DG17" i="4" s="1"/>
  <c r="DF17" i="4" s="1"/>
  <c r="DE17" i="4" s="1"/>
  <c r="AL18" i="4"/>
  <c r="DH20" i="4"/>
  <c r="DG20" i="4" s="1"/>
  <c r="DG12" i="4"/>
  <c r="DF12" i="4" s="1"/>
  <c r="DE12" i="4" s="1"/>
  <c r="GS12" i="4"/>
  <c r="AL13" i="4"/>
  <c r="GS14" i="4"/>
  <c r="GS16" i="4"/>
  <c r="AL17" i="4"/>
  <c r="DG18" i="4"/>
  <c r="DF18" i="4" s="1"/>
  <c r="DE18" i="4" s="1"/>
  <c r="DH19" i="4"/>
  <c r="DG19" i="4" s="1"/>
  <c r="DF19" i="4" s="1"/>
  <c r="DE19" i="4" s="1"/>
  <c r="GS19" i="4"/>
  <c r="AL20" i="4"/>
  <c r="HT20" i="4"/>
  <c r="DN20" i="4" s="1"/>
  <c r="GA25" i="4"/>
  <c r="DY25" i="4"/>
  <c r="AL11" i="4"/>
  <c r="CX13" i="4"/>
  <c r="DF13" i="4"/>
  <c r="DE13" i="4" s="1"/>
  <c r="GS13" i="4"/>
  <c r="AL14" i="4"/>
  <c r="AL16" i="4"/>
  <c r="GS18" i="4"/>
  <c r="AL19" i="4"/>
  <c r="K211" i="5"/>
  <c r="J212" i="5"/>
  <c r="J214" i="5" s="1"/>
  <c r="L211" i="5" s="1"/>
  <c r="K222" i="5"/>
  <c r="K218" i="5"/>
  <c r="J217" i="5"/>
  <c r="K219" i="5"/>
  <c r="F212" i="5"/>
  <c r="F214" i="5" s="1"/>
  <c r="F498" i="5" s="1"/>
  <c r="T112" i="17"/>
  <c r="U99" i="17"/>
  <c r="W99" i="17" s="1"/>
  <c r="U97" i="17"/>
  <c r="K112" i="17"/>
  <c r="U47" i="17"/>
  <c r="W47" i="17" s="1"/>
  <c r="Q45" i="17"/>
  <c r="P56" i="17"/>
  <c r="G506" i="5"/>
  <c r="F414" i="5"/>
  <c r="F411" i="5" s="1"/>
  <c r="E411" i="5"/>
  <c r="U98" i="17"/>
  <c r="W98" i="17" s="1"/>
  <c r="F501" i="5"/>
  <c r="W39" i="17"/>
  <c r="U50" i="17"/>
  <c r="W50" i="17" s="1"/>
  <c r="U106" i="17"/>
  <c r="W106" i="17" s="1"/>
  <c r="E214" i="5"/>
  <c r="E498" i="5" s="1"/>
  <c r="I501" i="5"/>
  <c r="D310" i="5"/>
  <c r="I214" i="5"/>
  <c r="I498" i="5" s="1"/>
  <c r="U41" i="17"/>
  <c r="W41" i="17" s="1"/>
  <c r="U40" i="17"/>
  <c r="W40" i="17" s="1"/>
  <c r="T56" i="17"/>
  <c r="U42" i="17"/>
  <c r="W42" i="17" s="1"/>
  <c r="U48" i="17"/>
  <c r="W48" i="17" s="1"/>
  <c r="D212" i="5"/>
  <c r="D214" i="5" s="1"/>
  <c r="D498" i="5" s="1"/>
  <c r="G214" i="5"/>
  <c r="G498" i="5" s="1"/>
  <c r="L261" i="5"/>
  <c r="AM24" i="4"/>
  <c r="D420" i="5"/>
  <c r="M53" i="17"/>
  <c r="N53" i="17" s="1"/>
  <c r="U53" i="17" s="1"/>
  <c r="W53" i="17" s="1"/>
  <c r="M45" i="17"/>
  <c r="L58" i="17"/>
  <c r="P107" i="17"/>
  <c r="E46" i="17"/>
  <c r="F46" i="17" s="1"/>
  <c r="H46" i="17" s="1"/>
  <c r="E39" i="17"/>
  <c r="E54" i="17"/>
  <c r="F54" i="17" s="1"/>
  <c r="H54" i="17" s="1"/>
  <c r="E50" i="17"/>
  <c r="F50" i="17" s="1"/>
  <c r="H50" i="17" s="1"/>
  <c r="E41" i="17"/>
  <c r="F41" i="17" s="1"/>
  <c r="H41" i="17" s="1"/>
  <c r="J45" i="17"/>
  <c r="J46" i="17"/>
  <c r="K46" i="17" s="1"/>
  <c r="U46" i="17" s="1"/>
  <c r="W46" i="17" s="1"/>
  <c r="DO11" i="4"/>
  <c r="IF11" i="4"/>
  <c r="IM11" i="4"/>
  <c r="HU11" i="4"/>
  <c r="E102" i="17"/>
  <c r="F102" i="17" s="1"/>
  <c r="H102" i="17" s="1"/>
  <c r="E98" i="17"/>
  <c r="Q189" i="17"/>
  <c r="M190" i="17"/>
  <c r="T190" i="17" s="1"/>
  <c r="V190" i="17" s="1"/>
  <c r="M182" i="17"/>
  <c r="M185" i="17"/>
  <c r="Q177" i="17"/>
  <c r="O183" i="17"/>
  <c r="T183" i="17" s="1"/>
  <c r="V183" i="17" s="1"/>
  <c r="O193" i="17"/>
  <c r="T193" i="17" s="1"/>
  <c r="V193" i="17" s="1"/>
  <c r="Q191" i="17"/>
  <c r="T191" i="17" s="1"/>
  <c r="V191" i="17" s="1"/>
  <c r="Q188" i="17"/>
  <c r="O189" i="17"/>
  <c r="Q186" i="17"/>
  <c r="T186" i="17" s="1"/>
  <c r="V186" i="17" s="1"/>
  <c r="O182" i="17"/>
  <c r="O179" i="17"/>
  <c r="M188" i="17"/>
  <c r="O185" i="17"/>
  <c r="T185" i="17" s="1"/>
  <c r="V185" i="17" s="1"/>
  <c r="BT11" i="4"/>
  <c r="BP11" i="4"/>
  <c r="BN11" i="4"/>
  <c r="BO11" i="4"/>
  <c r="AJ286" i="23"/>
  <c r="CY11" i="4"/>
  <c r="V256" i="23"/>
  <c r="AT216" i="23"/>
  <c r="BV216" i="23"/>
  <c r="K338" i="23"/>
  <c r="L338" i="23" s="1"/>
  <c r="M338" i="23" s="1"/>
  <c r="K336" i="23"/>
  <c r="L336" i="23" s="1"/>
  <c r="M336" i="23" s="1"/>
  <c r="V282" i="23"/>
  <c r="Q336" i="23" s="1"/>
  <c r="R336" i="23" s="1"/>
  <c r="S336" i="23" s="1"/>
  <c r="H336" i="23" s="1"/>
  <c r="EJ211" i="23"/>
  <c r="J334" i="23" s="1"/>
  <c r="AL216" i="23"/>
  <c r="G256" i="23"/>
  <c r="G216" i="23"/>
  <c r="EJ221" i="23"/>
  <c r="EJ236" i="23" s="1"/>
  <c r="S236" i="23"/>
  <c r="AA256" i="23"/>
  <c r="AA195" i="23"/>
  <c r="K335" i="23"/>
  <c r="L335" i="23" s="1"/>
  <c r="M335" i="23" s="1"/>
  <c r="Q325" i="23"/>
  <c r="R325" i="23" s="1"/>
  <c r="S325" i="23" s="1"/>
  <c r="H325" i="23" s="1"/>
  <c r="K323" i="23"/>
  <c r="L269" i="23"/>
  <c r="EH216" i="23"/>
  <c r="G313" i="23"/>
  <c r="K332" i="23"/>
  <c r="L332" i="23" s="1"/>
  <c r="M332" i="23" s="1"/>
  <c r="V216" i="23"/>
  <c r="DJ236" i="23"/>
  <c r="EJ240" i="23"/>
  <c r="EJ254" i="23"/>
  <c r="P337" i="23" s="1"/>
  <c r="AM216" i="23"/>
  <c r="W313" i="23"/>
  <c r="AA313" i="23"/>
  <c r="K334" i="23"/>
  <c r="V280" i="23"/>
  <c r="Q334" i="23" s="1"/>
  <c r="Q329" i="23"/>
  <c r="BQ256" i="23"/>
  <c r="CC236" i="23"/>
  <c r="BM236" i="23"/>
  <c r="BH236" i="23"/>
  <c r="DJ12" i="4"/>
  <c r="DK12" i="4" s="1"/>
  <c r="DJ18" i="4"/>
  <c r="DK18" i="4"/>
  <c r="DJ19" i="4"/>
  <c r="DK19" i="4" s="1"/>
  <c r="AK256" i="23"/>
  <c r="CW256" i="23"/>
  <c r="EC256" i="23"/>
  <c r="AB236" i="23"/>
  <c r="CY16" i="4"/>
  <c r="HW16" i="4" s="1"/>
  <c r="DJ13" i="4"/>
  <c r="DK13" i="4" s="1"/>
  <c r="F344" i="23"/>
  <c r="F343" i="23"/>
  <c r="AR236" i="23"/>
  <c r="DI236" i="23"/>
  <c r="DD236" i="23"/>
  <c r="DJ15" i="4"/>
  <c r="DK15" i="4" s="1"/>
  <c r="E313" i="23"/>
  <c r="U313" i="23"/>
  <c r="AB286" i="23"/>
  <c r="DJ14" i="4"/>
  <c r="DK14" i="4" s="1"/>
  <c r="IT12" i="4"/>
  <c r="CX18" i="4"/>
  <c r="CY18" i="4" s="1"/>
  <c r="IM20" i="4"/>
  <c r="HU20" i="4"/>
  <c r="BR12" i="4"/>
  <c r="BN12" i="4"/>
  <c r="BQ12" i="4"/>
  <c r="BO12" i="4"/>
  <c r="BL12" i="4"/>
  <c r="BL24" i="4" s="1"/>
  <c r="D120" i="5" s="1"/>
  <c r="BT12" i="4"/>
  <c r="BV12" i="4"/>
  <c r="BP12" i="4"/>
  <c r="BU12" i="4"/>
  <c r="BU24" i="4" s="1"/>
  <c r="D129" i="5" s="1"/>
  <c r="BS12" i="4"/>
  <c r="BJ12" i="4"/>
  <c r="BX12" i="4"/>
  <c r="BI12" i="4"/>
  <c r="BY12" i="4"/>
  <c r="BW12" i="4"/>
  <c r="HT14" i="4"/>
  <c r="DN14" i="4" s="1"/>
  <c r="HT15" i="4"/>
  <c r="DN15" i="4" s="1"/>
  <c r="BQ16" i="4"/>
  <c r="BU16" i="4"/>
  <c r="BJ16" i="4"/>
  <c r="BT16" i="4"/>
  <c r="BS16" i="4"/>
  <c r="BR16" i="4"/>
  <c r="BV16" i="4"/>
  <c r="BK16" i="4"/>
  <c r="BP16" i="4"/>
  <c r="BN16" i="4"/>
  <c r="BM16" i="4"/>
  <c r="BL16" i="4"/>
  <c r="BI16" i="4"/>
  <c r="BO16" i="4"/>
  <c r="HT17" i="4"/>
  <c r="DN17" i="4" s="1"/>
  <c r="HT18" i="4"/>
  <c r="DN18" i="4" s="1"/>
  <c r="BJ19" i="4"/>
  <c r="BU19" i="4"/>
  <c r="BM19" i="4"/>
  <c r="BQ19" i="4"/>
  <c r="BK19" i="4"/>
  <c r="BN19" i="4"/>
  <c r="BI19" i="4"/>
  <c r="BT19" i="4"/>
  <c r="BV19" i="4"/>
  <c r="BO19" i="4"/>
  <c r="BY19" i="4"/>
  <c r="BP19" i="4"/>
  <c r="BS19" i="4"/>
  <c r="CX19" i="4"/>
  <c r="HT19" i="4"/>
  <c r="DN19" i="4" s="1"/>
  <c r="GA26" i="4"/>
  <c r="HU12" i="4"/>
  <c r="CX20" i="4"/>
  <c r="BK12" i="4"/>
  <c r="BK24" i="4" s="1"/>
  <c r="D119" i="5" s="1"/>
  <c r="BO13" i="4"/>
  <c r="BR13" i="4"/>
  <c r="BU13" i="4"/>
  <c r="BX13" i="4"/>
  <c r="BS13" i="4"/>
  <c r="BN13" i="4"/>
  <c r="BQ13" i="4"/>
  <c r="BT13" i="4"/>
  <c r="BW13" i="4"/>
  <c r="BJ13" i="4"/>
  <c r="BM13" i="4"/>
  <c r="BP13" i="4"/>
  <c r="DY26" i="4"/>
  <c r="CM12" i="4"/>
  <c r="CY13" i="4"/>
  <c r="HW13" i="4" s="1"/>
  <c r="CX12" i="4"/>
  <c r="DF20" i="4"/>
  <c r="CY12" i="4"/>
  <c r="HW12" i="4" s="1"/>
  <c r="HT13" i="4"/>
  <c r="DN13" i="4" s="1"/>
  <c r="CW14" i="4"/>
  <c r="CX15" i="4"/>
  <c r="CW17" i="4"/>
  <c r="EH26" i="4"/>
  <c r="DO16" i="4" l="1"/>
  <c r="CI24" i="4"/>
  <c r="CM16" i="4"/>
  <c r="DO20" i="4"/>
  <c r="IF16" i="4"/>
  <c r="IF20" i="4"/>
  <c r="L219" i="5"/>
  <c r="L222" i="5"/>
  <c r="IT16" i="4"/>
  <c r="II34" i="4"/>
  <c r="CM20" i="4"/>
  <c r="CR20" i="4" s="1"/>
  <c r="IM16" i="4"/>
  <c r="IL25" i="4"/>
  <c r="IT11" i="4"/>
  <c r="D268" i="5"/>
  <c r="CI25" i="4"/>
  <c r="HW18" i="4"/>
  <c r="CZ18" i="4"/>
  <c r="HX18" i="4" s="1"/>
  <c r="M195" i="17"/>
  <c r="GS24" i="4"/>
  <c r="GS26" i="4" s="1"/>
  <c r="DJ17" i="4"/>
  <c r="DK17" i="4" s="1"/>
  <c r="IF12" i="4"/>
  <c r="DN12" i="4"/>
  <c r="DN27" i="4" s="1"/>
  <c r="IM12" i="4"/>
  <c r="DO12" i="4"/>
  <c r="R330" i="23"/>
  <c r="S330" i="23" s="1"/>
  <c r="H330" i="23" s="1"/>
  <c r="BE195" i="23"/>
  <c r="CK195" i="23"/>
  <c r="CW195" i="23"/>
  <c r="DI195" i="23"/>
  <c r="Q286" i="23"/>
  <c r="N94" i="17"/>
  <c r="N112" i="17" s="1"/>
  <c r="M112" i="17"/>
  <c r="U109" i="17"/>
  <c r="W109" i="17" s="1"/>
  <c r="R334" i="23"/>
  <c r="S334" i="23" s="1"/>
  <c r="H334" i="23" s="1"/>
  <c r="Y195" i="23"/>
  <c r="EJ185" i="23"/>
  <c r="O329" i="23" s="1"/>
  <c r="R329" i="23" s="1"/>
  <c r="S329" i="23" s="1"/>
  <c r="H329" i="23" s="1"/>
  <c r="AS195" i="23"/>
  <c r="AW195" i="23"/>
  <c r="BQ195" i="23"/>
  <c r="DE195" i="23"/>
  <c r="DU195" i="23"/>
  <c r="EJ187" i="23"/>
  <c r="O331" i="23" s="1"/>
  <c r="R331" i="23" s="1"/>
  <c r="S331" i="23" s="1"/>
  <c r="H331" i="23" s="1"/>
  <c r="U110" i="17"/>
  <c r="W110" i="17" s="1"/>
  <c r="E452" i="5"/>
  <c r="J497" i="5"/>
  <c r="M135" i="5"/>
  <c r="IT19" i="4"/>
  <c r="V286" i="23"/>
  <c r="T188" i="17"/>
  <c r="V188" i="17" s="1"/>
  <c r="T189" i="17"/>
  <c r="V189" i="17" s="1"/>
  <c r="L218" i="5"/>
  <c r="AL24" i="4"/>
  <c r="E216" i="23"/>
  <c r="EJ199" i="23"/>
  <c r="J322" i="23" s="1"/>
  <c r="L322" i="23" s="1"/>
  <c r="M322" i="23" s="1"/>
  <c r="Q195" i="23"/>
  <c r="EJ180" i="23"/>
  <c r="O324" i="23" s="1"/>
  <c r="R324" i="23" s="1"/>
  <c r="S324" i="23" s="1"/>
  <c r="H324" i="23" s="1"/>
  <c r="BA195" i="23"/>
  <c r="CO195" i="23"/>
  <c r="DA195" i="23"/>
  <c r="DQ195" i="23"/>
  <c r="IT20" i="4"/>
  <c r="EJ182" i="23"/>
  <c r="O326" i="23" s="1"/>
  <c r="R326" i="23" s="1"/>
  <c r="S326" i="23" s="1"/>
  <c r="H326" i="23" s="1"/>
  <c r="DH24" i="4"/>
  <c r="G460" i="5" s="1"/>
  <c r="G476" i="5" s="1"/>
  <c r="BW24" i="4"/>
  <c r="D131" i="5" s="1"/>
  <c r="E195" i="23"/>
  <c r="EJ178" i="23"/>
  <c r="EG195" i="23"/>
  <c r="Q337" i="23"/>
  <c r="R337" i="23" s="1"/>
  <c r="S337" i="23" s="1"/>
  <c r="H337" i="23" s="1"/>
  <c r="EJ184" i="23"/>
  <c r="O328" i="23" s="1"/>
  <c r="R328" i="23" s="1"/>
  <c r="S328" i="23" s="1"/>
  <c r="H328" i="23" s="1"/>
  <c r="U94" i="17"/>
  <c r="W94" i="17" s="1"/>
  <c r="DF11" i="4"/>
  <c r="DE11" i="4" s="1"/>
  <c r="DJ11" i="4" s="1"/>
  <c r="DK11" i="4" s="1"/>
  <c r="DG24" i="4"/>
  <c r="F460" i="5" s="1"/>
  <c r="F476" i="5" s="1"/>
  <c r="D467" i="5" s="1"/>
  <c r="CX14" i="4"/>
  <c r="CY14" i="4"/>
  <c r="HW14" i="4" s="1"/>
  <c r="CW24" i="4"/>
  <c r="D459" i="5" s="1"/>
  <c r="HZ12" i="4"/>
  <c r="CN16" i="4"/>
  <c r="IA16" i="4"/>
  <c r="HZ16" i="4"/>
  <c r="CP16" i="4"/>
  <c r="IA12" i="4"/>
  <c r="HU17" i="4"/>
  <c r="IF17" i="4"/>
  <c r="IF24" i="4" s="1"/>
  <c r="IT17" i="4"/>
  <c r="DO17" i="4"/>
  <c r="IM17" i="4"/>
  <c r="DO14" i="4"/>
  <c r="IF14" i="4"/>
  <c r="HU14" i="4"/>
  <c r="CM14" i="4"/>
  <c r="CN14" i="4" s="1"/>
  <c r="IM14" i="4"/>
  <c r="IT14" i="4"/>
  <c r="CZ12" i="4"/>
  <c r="HX12" i="4" s="1"/>
  <c r="IB12" i="4" s="1"/>
  <c r="CZ13" i="4"/>
  <c r="HX13" i="4" s="1"/>
  <c r="HY13" i="4" s="1"/>
  <c r="BM24" i="4"/>
  <c r="D121" i="5" s="1"/>
  <c r="CY20" i="4"/>
  <c r="HW20" i="4" s="1"/>
  <c r="BX24" i="4"/>
  <c r="D132" i="5" s="1"/>
  <c r="CY15" i="4"/>
  <c r="HW15" i="4" s="1"/>
  <c r="CZ16" i="4"/>
  <c r="DA12" i="4"/>
  <c r="P323" i="23"/>
  <c r="EJ256" i="23"/>
  <c r="K341" i="23"/>
  <c r="BO24" i="4"/>
  <c r="D123" i="5" s="1"/>
  <c r="HB24" i="4"/>
  <c r="HB26" i="4" s="1"/>
  <c r="T182" i="17"/>
  <c r="V182" i="17" s="1"/>
  <c r="E112" i="17"/>
  <c r="F98" i="17"/>
  <c r="CM11" i="4"/>
  <c r="CR16" i="4"/>
  <c r="BJ24" i="4"/>
  <c r="D118" i="5" s="1"/>
  <c r="BV24" i="4"/>
  <c r="D133" i="5" s="1"/>
  <c r="BQ24" i="4"/>
  <c r="D125" i="5" s="1"/>
  <c r="CN20" i="4"/>
  <c r="HY18" i="4"/>
  <c r="CQ16" i="4"/>
  <c r="BN24" i="4"/>
  <c r="D122" i="5" s="1"/>
  <c r="N45" i="17"/>
  <c r="N56" i="17" s="1"/>
  <c r="M56" i="17"/>
  <c r="DE20" i="4"/>
  <c r="DF24" i="4"/>
  <c r="E460" i="5" s="1"/>
  <c r="CN12" i="4"/>
  <c r="CR12" i="4"/>
  <c r="CX17" i="4"/>
  <c r="IF13" i="4"/>
  <c r="IM13" i="4"/>
  <c r="HU13" i="4"/>
  <c r="DO13" i="4"/>
  <c r="CM13" i="4"/>
  <c r="CN13" i="4" s="1"/>
  <c r="HT29" i="4"/>
  <c r="HT24" i="4"/>
  <c r="HT26" i="4" s="1"/>
  <c r="AM2" i="4"/>
  <c r="CO25" i="4" s="1"/>
  <c r="CQ12" i="4"/>
  <c r="IM19" i="4"/>
  <c r="IF19" i="4"/>
  <c r="HU19" i="4"/>
  <c r="DO19" i="4"/>
  <c r="HU18" i="4"/>
  <c r="DO18" i="4"/>
  <c r="IF18" i="4"/>
  <c r="CM18" i="4"/>
  <c r="CN18" i="4" s="1"/>
  <c r="IM18" i="4"/>
  <c r="IT18" i="4"/>
  <c r="IF15" i="4"/>
  <c r="DO15" i="4"/>
  <c r="IM15" i="4"/>
  <c r="IT15" i="4"/>
  <c r="HU15" i="4"/>
  <c r="BY24" i="4"/>
  <c r="D130" i="5" s="1"/>
  <c r="BS24" i="4"/>
  <c r="D127" i="5" s="1"/>
  <c r="CP12" i="4"/>
  <c r="DA18" i="4"/>
  <c r="L334" i="23"/>
  <c r="M334" i="23" s="1"/>
  <c r="J341" i="23"/>
  <c r="HW11" i="4"/>
  <c r="CZ11" i="4"/>
  <c r="EJ216" i="23"/>
  <c r="BP24" i="4"/>
  <c r="D124" i="5" s="1"/>
  <c r="L323" i="23"/>
  <c r="J56" i="17"/>
  <c r="K45" i="17"/>
  <c r="K56" i="17" s="1"/>
  <c r="F39" i="17"/>
  <c r="E56" i="17"/>
  <c r="DA11" i="4"/>
  <c r="Q56" i="17"/>
  <c r="D468" i="5"/>
  <c r="W97" i="17"/>
  <c r="L212" i="5"/>
  <c r="L229" i="5"/>
  <c r="K212" i="5"/>
  <c r="HY12" i="4"/>
  <c r="CY19" i="4"/>
  <c r="HW19" i="4" s="1"/>
  <c r="BI24" i="4"/>
  <c r="BR24" i="4"/>
  <c r="D126" i="5" s="1"/>
  <c r="IT13" i="4"/>
  <c r="CZ15" i="4"/>
  <c r="HX15" i="4" s="1"/>
  <c r="Q323" i="23"/>
  <c r="Q341" i="23" s="1"/>
  <c r="L286" i="23"/>
  <c r="BT24" i="4"/>
  <c r="D128" i="5" s="1"/>
  <c r="T179" i="17"/>
  <c r="V179" i="17" s="1"/>
  <c r="O195" i="17"/>
  <c r="T177" i="17"/>
  <c r="Q195" i="17"/>
  <c r="Q107" i="17"/>
  <c r="P112" i="17"/>
  <c r="F420" i="5"/>
  <c r="F421" i="5"/>
  <c r="E421" i="5"/>
  <c r="E420" i="5"/>
  <c r="L210" i="5"/>
  <c r="L214" i="5" s="1"/>
  <c r="J498" i="5"/>
  <c r="L221" i="5"/>
  <c r="L225" i="5"/>
  <c r="L223" i="5"/>
  <c r="L220" i="5"/>
  <c r="M222" i="5" l="1"/>
  <c r="HZ20" i="4"/>
  <c r="CQ20" i="4"/>
  <c r="CS12" i="4"/>
  <c r="IA20" i="4"/>
  <c r="CP20" i="4"/>
  <c r="M223" i="5"/>
  <c r="Q225" i="17"/>
  <c r="Q226" i="17" s="1"/>
  <c r="IT24" i="4"/>
  <c r="CZ19" i="4"/>
  <c r="HX19" i="4" s="1"/>
  <c r="IF25" i="4"/>
  <c r="DA13" i="4"/>
  <c r="CZ20" i="4"/>
  <c r="HX20" i="4" s="1"/>
  <c r="IB20" i="4" s="1"/>
  <c r="D13" i="5"/>
  <c r="D41" i="5" s="1"/>
  <c r="AM25" i="4"/>
  <c r="DO24" i="4"/>
  <c r="O322" i="23"/>
  <c r="EJ195" i="23"/>
  <c r="CP13" i="4"/>
  <c r="IB13" i="4"/>
  <c r="HZ18" i="4"/>
  <c r="CR13" i="4"/>
  <c r="IA13" i="4"/>
  <c r="IB18" i="4"/>
  <c r="CQ13" i="4"/>
  <c r="V177" i="17"/>
  <c r="T195" i="17"/>
  <c r="V195" i="17" s="1"/>
  <c r="DA19" i="4"/>
  <c r="DB19" i="4" s="1"/>
  <c r="M220" i="5"/>
  <c r="BZ24" i="4"/>
  <c r="D117" i="5"/>
  <c r="D135" i="5" s="1"/>
  <c r="HY19" i="4"/>
  <c r="HX11" i="4"/>
  <c r="IB11" i="4" s="1"/>
  <c r="DB11" i="4"/>
  <c r="DC11" i="4" s="1"/>
  <c r="CM15" i="4"/>
  <c r="CP18" i="4"/>
  <c r="IA18" i="4"/>
  <c r="CM19" i="4"/>
  <c r="HZ13" i="4"/>
  <c r="DA20" i="4"/>
  <c r="DB13" i="4"/>
  <c r="DC13" i="4" s="1"/>
  <c r="DB12" i="4"/>
  <c r="DC12" i="4" s="1"/>
  <c r="CR14" i="4"/>
  <c r="HZ14" i="4"/>
  <c r="CM17" i="4"/>
  <c r="M323" i="23"/>
  <c r="L341" i="23"/>
  <c r="U45" i="17"/>
  <c r="DN28" i="4"/>
  <c r="DA15" i="4"/>
  <c r="CN11" i="4"/>
  <c r="IA11" i="4"/>
  <c r="CQ11" i="4"/>
  <c r="CP11" i="4"/>
  <c r="CR11" i="4"/>
  <c r="HZ11" i="4"/>
  <c r="P341" i="23"/>
  <c r="R323" i="23"/>
  <c r="HY15" i="4"/>
  <c r="HY20" i="4"/>
  <c r="CQ14" i="4"/>
  <c r="CP14" i="4"/>
  <c r="CS16" i="4"/>
  <c r="IC12" i="4"/>
  <c r="CZ14" i="4"/>
  <c r="HX14" i="4" s="1"/>
  <c r="IB14" i="4" s="1"/>
  <c r="DC19" i="4"/>
  <c r="M218" i="5"/>
  <c r="L228" i="5"/>
  <c r="H39" i="17"/>
  <c r="F56" i="17"/>
  <c r="HY11" i="4"/>
  <c r="E476" i="5"/>
  <c r="DN29" i="4"/>
  <c r="H98" i="17"/>
  <c r="F112" i="17"/>
  <c r="H112" i="17" s="1"/>
  <c r="DB18" i="4"/>
  <c r="DC18" i="4" s="1"/>
  <c r="CX24" i="4"/>
  <c r="E459" i="5" s="1"/>
  <c r="E475" i="5" s="1"/>
  <c r="DB15" i="4"/>
  <c r="DC15" i="4" s="1"/>
  <c r="M221" i="5"/>
  <c r="U107" i="17"/>
  <c r="Q112" i="17"/>
  <c r="CQ18" i="4"/>
  <c r="CR18" i="4"/>
  <c r="CY17" i="4"/>
  <c r="DJ20" i="4"/>
  <c r="DJ24" i="4" s="1"/>
  <c r="I460" i="5" s="1"/>
  <c r="DE24" i="4"/>
  <c r="HX16" i="4"/>
  <c r="DA16" i="4"/>
  <c r="DB16" i="4" s="1"/>
  <c r="DB20" i="4"/>
  <c r="IA14" i="4"/>
  <c r="D475" i="5"/>
  <c r="IC13" i="4" l="1"/>
  <c r="IC18" i="4"/>
  <c r="IC20" i="4"/>
  <c r="CS20" i="4"/>
  <c r="HY14" i="4"/>
  <c r="CM24" i="4"/>
  <c r="CM25" i="4" s="1"/>
  <c r="O341" i="23"/>
  <c r="R322" i="23"/>
  <c r="S322" i="23" s="1"/>
  <c r="H322" i="23" s="1"/>
  <c r="CS13" i="4"/>
  <c r="IB16" i="4"/>
  <c r="IC16" i="4" s="1"/>
  <c r="HY16" i="4"/>
  <c r="HW17" i="4"/>
  <c r="CY24" i="4"/>
  <c r="F459" i="5" s="1"/>
  <c r="W107" i="17"/>
  <c r="U112" i="17"/>
  <c r="W112" i="17" s="1"/>
  <c r="D466" i="5"/>
  <c r="D469" i="5" s="1"/>
  <c r="CS14" i="4"/>
  <c r="S323" i="23"/>
  <c r="H323" i="23" s="1"/>
  <c r="R341" i="23"/>
  <c r="R346" i="23" s="1"/>
  <c r="H340" i="23" s="1"/>
  <c r="CS11" i="4"/>
  <c r="W45" i="17"/>
  <c r="U56" i="17"/>
  <c r="W56" i="17" s="1"/>
  <c r="L346" i="23"/>
  <c r="L344" i="23"/>
  <c r="IC14" i="4"/>
  <c r="CN19" i="4"/>
  <c r="IA19" i="4"/>
  <c r="HZ19" i="4"/>
  <c r="IB19" i="4"/>
  <c r="CR19" i="4"/>
  <c r="CQ19" i="4"/>
  <c r="CP19" i="4"/>
  <c r="DA14" i="4"/>
  <c r="D460" i="5"/>
  <c r="DC20" i="4"/>
  <c r="DC16" i="4"/>
  <c r="DK20" i="4"/>
  <c r="DK24" i="4" s="1"/>
  <c r="J460" i="5" s="1"/>
  <c r="IC11" i="4"/>
  <c r="DB14" i="4"/>
  <c r="CS18" i="4"/>
  <c r="CN17" i="4"/>
  <c r="CR17" i="4"/>
  <c r="HZ17" i="4"/>
  <c r="CP17" i="4"/>
  <c r="CQ17" i="4"/>
  <c r="IA17" i="4"/>
  <c r="CN15" i="4"/>
  <c r="CP15" i="4"/>
  <c r="IB15" i="4"/>
  <c r="CQ15" i="4"/>
  <c r="HZ15" i="4"/>
  <c r="IA15" i="4"/>
  <c r="CR15" i="4"/>
  <c r="CZ17" i="4"/>
  <c r="HX17" i="4" s="1"/>
  <c r="IB17" i="4" s="1"/>
  <c r="CN24" i="4" l="1"/>
  <c r="CN25" i="4" s="1"/>
  <c r="CQ24" i="4"/>
  <c r="IA24" i="4"/>
  <c r="CS19" i="4"/>
  <c r="IC19" i="4"/>
  <c r="CR24" i="4"/>
  <c r="HZ24" i="4"/>
  <c r="IB25" i="4"/>
  <c r="I468" i="5" s="1"/>
  <c r="CS15" i="4"/>
  <c r="D476" i="5"/>
  <c r="K460" i="5"/>
  <c r="D461" i="5"/>
  <c r="E461" i="5"/>
  <c r="F475" i="5"/>
  <c r="F461" i="5"/>
  <c r="CR25" i="4"/>
  <c r="HX25" i="4"/>
  <c r="H468" i="5" s="1"/>
  <c r="IC15" i="4"/>
  <c r="CS17" i="4"/>
  <c r="CQ25" i="4"/>
  <c r="DC14" i="4"/>
  <c r="IA25" i="4"/>
  <c r="I467" i="5" s="1"/>
  <c r="HX24" i="4"/>
  <c r="CP24" i="4"/>
  <c r="H344" i="23"/>
  <c r="H343" i="23"/>
  <c r="HY17" i="4"/>
  <c r="HY24" i="4" s="1"/>
  <c r="HW25" i="4"/>
  <c r="HW24" i="4"/>
  <c r="IB24" i="4"/>
  <c r="IC17" i="4"/>
  <c r="CZ24" i="4"/>
  <c r="G459" i="5" s="1"/>
  <c r="G475" i="5" s="1"/>
  <c r="HZ25" i="4"/>
  <c r="DA17" i="4"/>
  <c r="DL24" i="4"/>
  <c r="CP25" i="4"/>
  <c r="CQ26" i="4" s="1"/>
  <c r="CQ27" i="4" l="1"/>
  <c r="CS24" i="4"/>
  <c r="IC24" i="4"/>
  <c r="H461" i="5"/>
  <c r="IC25" i="4"/>
  <c r="I469" i="5" s="1"/>
  <c r="I466" i="5"/>
  <c r="G461" i="5"/>
  <c r="D479" i="5"/>
  <c r="D477" i="5"/>
  <c r="H467" i="5"/>
  <c r="HY25" i="4"/>
  <c r="H469" i="5" s="1"/>
  <c r="DB17" i="4"/>
  <c r="DB24" i="4" s="1"/>
  <c r="I459" i="5" s="1"/>
  <c r="I461" i="5" s="1"/>
  <c r="DA24" i="4"/>
  <c r="H459" i="5" s="1"/>
  <c r="DC17" i="4" l="1"/>
  <c r="DC24" i="4" s="1"/>
  <c r="J459" i="5" s="1"/>
  <c r="J461" i="5"/>
  <c r="K459" i="5"/>
  <c r="K461" i="5" s="1"/>
  <c r="E477" i="5"/>
  <c r="E479" i="5"/>
  <c r="F477" i="5" l="1"/>
  <c r="F479" i="5"/>
  <c r="G477" i="5" l="1"/>
  <c r="G479" i="5"/>
</calcChain>
</file>

<file path=xl/sharedStrings.xml><?xml version="1.0" encoding="utf-8"?>
<sst xmlns="http://schemas.openxmlformats.org/spreadsheetml/2006/main" count="2880" uniqueCount="907">
  <si>
    <t>Comprehensive and Integrated Infrastructure Program (CIIP)</t>
  </si>
  <si>
    <t>TOTAL INVESTMENT TARGETS:</t>
  </si>
  <si>
    <t>Thousand PhP</t>
  </si>
  <si>
    <t>TOTAL NUMBER OF PROJECTS:</t>
  </si>
  <si>
    <t>Projects/Programs</t>
  </si>
  <si>
    <t>Program / Project Title</t>
  </si>
  <si>
    <t>Agency Name</t>
  </si>
  <si>
    <t>Spatial Coverage (Breakdown)</t>
  </si>
  <si>
    <t>PDP Chapter</t>
  </si>
  <si>
    <t>16 Point Agenda Addressed</t>
  </si>
  <si>
    <t>Investment Targets In Thousand Pesos (PhP '000)</t>
  </si>
  <si>
    <t>Remarks</t>
  </si>
  <si>
    <t>Status of Feasibility Study</t>
  </si>
  <si>
    <t>Development/ Unit Cost</t>
  </si>
  <si>
    <t>Nationwide</t>
  </si>
  <si>
    <t>Interregional</t>
  </si>
  <si>
    <t>Region-Specific</t>
  </si>
  <si>
    <t>Not indicated</t>
  </si>
  <si>
    <t>NG</t>
  </si>
  <si>
    <t>GOCCs</t>
  </si>
  <si>
    <t>GFIs</t>
  </si>
  <si>
    <t>LGUs</t>
  </si>
  <si>
    <t>ODA Loan</t>
  </si>
  <si>
    <t>ODA Grant</t>
  </si>
  <si>
    <t>Private Sector</t>
  </si>
  <si>
    <t>Others</t>
  </si>
  <si>
    <t>Subtotal</t>
  </si>
  <si>
    <t>NG-GAA</t>
  </si>
  <si>
    <t>Private Sector/ PSP</t>
  </si>
  <si>
    <t>Other Sources</t>
  </si>
  <si>
    <t>(A)</t>
  </si>
  <si>
    <t>(B)</t>
  </si>
  <si>
    <t>(C)</t>
  </si>
  <si>
    <t>(D)</t>
  </si>
  <si>
    <t>(E)</t>
  </si>
  <si>
    <t>(F)</t>
  </si>
  <si>
    <t>(G)</t>
  </si>
  <si>
    <t>(H)</t>
  </si>
  <si>
    <t>(I)</t>
  </si>
  <si>
    <t>(J)</t>
  </si>
  <si>
    <t>(K)</t>
  </si>
  <si>
    <t>(L)</t>
  </si>
  <si>
    <t>(M)</t>
  </si>
  <si>
    <t>(N)</t>
  </si>
  <si>
    <t>(O)</t>
  </si>
  <si>
    <t>(P)</t>
  </si>
  <si>
    <t>(Q)</t>
  </si>
  <si>
    <t>(R)</t>
  </si>
  <si>
    <t>(S)</t>
  </si>
  <si>
    <t>(T)</t>
  </si>
  <si>
    <t>(U)</t>
  </si>
  <si>
    <t>(V)</t>
  </si>
  <si>
    <t>(W)</t>
  </si>
  <si>
    <t>(X)</t>
  </si>
  <si>
    <t>(Y)</t>
  </si>
  <si>
    <t>(Z)</t>
  </si>
  <si>
    <t>(AA)</t>
  </si>
  <si>
    <t>(AB)</t>
  </si>
  <si>
    <t>(AC)</t>
  </si>
  <si>
    <t>(AD)</t>
  </si>
  <si>
    <t>(AE)</t>
  </si>
  <si>
    <t>(AF)</t>
  </si>
  <si>
    <t>CEZA</t>
  </si>
  <si>
    <t>Competitiveness enhanced and productivity increased in the industry, services and agriculture sectors</t>
  </si>
  <si>
    <t>Improve connectivity and efficiency among urban centers and regional growth hubs</t>
  </si>
  <si>
    <t>Ongoing</t>
  </si>
  <si>
    <t>2014-2016</t>
  </si>
  <si>
    <t>Safer and more secured environment created and sustained</t>
  </si>
  <si>
    <t>ICT</t>
  </si>
  <si>
    <t>Proposed</t>
  </si>
  <si>
    <t>NCR</t>
  </si>
  <si>
    <t>Strengthen resilience to climate change and disasters</t>
  </si>
  <si>
    <t>Not Indicated</t>
  </si>
  <si>
    <t>Governance improved</t>
  </si>
  <si>
    <t xml:space="preserve">Promote good governance through the use of ICTs </t>
  </si>
  <si>
    <t>PHLPOST</t>
  </si>
  <si>
    <t>DENR</t>
  </si>
  <si>
    <t>PCOO</t>
  </si>
  <si>
    <t>To be determined</t>
  </si>
  <si>
    <t>NTC</t>
  </si>
  <si>
    <t>DOH</t>
  </si>
  <si>
    <t>Adequacy and accessibility of basic infrastructure services enhanced, and infrastructure gaps in far-flung areas reduced</t>
  </si>
  <si>
    <t>Improve access to and adequacy of basic infrastructure services</t>
  </si>
  <si>
    <t>DepEd</t>
  </si>
  <si>
    <t>DOTC</t>
  </si>
  <si>
    <t>Transportation</t>
  </si>
  <si>
    <t>Air Transportation</t>
  </si>
  <si>
    <t>Region VIII</t>
  </si>
  <si>
    <t>Region VI</t>
  </si>
  <si>
    <t>Region IX</t>
  </si>
  <si>
    <t>CARAGA</t>
  </si>
  <si>
    <t>Region X</t>
  </si>
  <si>
    <t>Region II</t>
  </si>
  <si>
    <t>Region IV-B</t>
  </si>
  <si>
    <t>ARMM</t>
  </si>
  <si>
    <t>Region V</t>
  </si>
  <si>
    <t>Completed</t>
  </si>
  <si>
    <t>Region III</t>
  </si>
  <si>
    <t>Region I</t>
  </si>
  <si>
    <t>Region VII</t>
  </si>
  <si>
    <t>Region XI</t>
  </si>
  <si>
    <t>Region XII</t>
  </si>
  <si>
    <t>2013-2016</t>
  </si>
  <si>
    <t>Rail Transportation</t>
  </si>
  <si>
    <t>MRT 7</t>
  </si>
  <si>
    <t>NCR, Region III</t>
  </si>
  <si>
    <t xml:space="preserve">Line 1 South Extension Project
</t>
  </si>
  <si>
    <t>South Line Modernization</t>
  </si>
  <si>
    <t>DPWH</t>
  </si>
  <si>
    <t>Roads and Bridges</t>
  </si>
  <si>
    <t>National Roads Improvement Management Project, Phase 2 (NRIMP-2), IBRD-Assisted
LTPBMC Projects
South Luzon Package
  1 Pagsanjan-Lucena City
  2 Tiaong-Lucena City
  3 Pagbilao-Camarines Norte  Boundary
  4 Lucena Diversion Road</t>
  </si>
  <si>
    <t>Region IV-A, V</t>
  </si>
  <si>
    <t>Region IV-A</t>
  </si>
  <si>
    <t>Region I, II, III, NCR, IV-A</t>
  </si>
  <si>
    <t>ADB Road Sector Institutional Development and Investment  Program(RSIDIP)
Asset Preservation/Civil Works
Bauang-Baguio Rd, La Union and Benguet</t>
  </si>
  <si>
    <t>Region I, CAR</t>
  </si>
  <si>
    <t xml:space="preserve">DPWH Bridge Construction/Replacement Project Under Spanish Government Financing Facility
(Luzon) </t>
  </si>
  <si>
    <t>Region I,CAR,II,III,IV-A, IV-B, V</t>
  </si>
  <si>
    <t>Mega Bridges for Urban and Rural Development formerly Tulay ng Pangulo sa Kaunlaran, Phase II (Luzon)</t>
  </si>
  <si>
    <t>Tarlac-Pangasinan-La Union Toll Expressway (TPLEX), Tarlac and Pangasinan</t>
  </si>
  <si>
    <t>Region I, III</t>
  </si>
  <si>
    <t>Daang Hari-SLEX Link Road Project, Bacoor, Cavite to tha South Luzon Expressway thru Susana Heights</t>
  </si>
  <si>
    <t>NCR, Region IV-A</t>
  </si>
  <si>
    <t xml:space="preserve">DPWH Bridge Construction/Replacement Project Under Spanish Government Financing Facility
(Visayas) </t>
  </si>
  <si>
    <t>Mega Bridges for Urban and Rural Development formerly Tulay ng Pangulo sa Kaunlaran, Phase II (Visayas)</t>
  </si>
  <si>
    <t>National Roads Improvement Management Project, Phase 2 (NRIMP-2), IBRD-Assisted
ROAD UPGRADING
Digos (Davao del Sur)-Cotabato Road</t>
  </si>
  <si>
    <t>Region XI,XII</t>
  </si>
  <si>
    <t xml:space="preserve">DPWH Bridge Construction/Replacement Project Under Spanish Government Financing Facility (Mindanao) </t>
  </si>
  <si>
    <t>Mega Bridges for Urban and Rural Development formerly Tulay ng Pangulo sa Kaunlaran, Phase II (Mindanao)</t>
  </si>
  <si>
    <t>DPWH Bridge Construction Acceleration Project for Calamity Striken Areas  II, Austrian-Assisted (Luzon)</t>
  </si>
  <si>
    <t>Bridge Replacement Project  UK-assisted                                                                                            Previously Bridge for Prosperity Acceleration Project UK-assisted (Visayas)</t>
  </si>
  <si>
    <t>DPWH Bridge Construction Acceleration Project for Calamity Striken Areas  II, Austrian-Assisted (Visayas)</t>
  </si>
  <si>
    <t>MMDA</t>
  </si>
  <si>
    <t>PRA</t>
  </si>
  <si>
    <t>Construction and Upgrading/Improvement of Farm-To-Market Road (FMR) Projects</t>
  </si>
  <si>
    <t>Region II, III</t>
  </si>
  <si>
    <t>San Nicolas-Solsona (Ilocos Norte)-Cabugao-Abbut (Apayao) Road, Ilocos Norte, Apayao</t>
  </si>
  <si>
    <t>CAR</t>
  </si>
  <si>
    <t>San Nicolas-Natividad-San Quintin-Umingan-Guimba Rd,Pangasinan and N. Ecija</t>
  </si>
  <si>
    <t>Nueva Era-Dingras-Bangued Road,Ilocos Sur, Abra</t>
  </si>
  <si>
    <t>Abbag-Dinadiawan Road(Cordon-Aurora Bdry. Dinadiawan-Maddela Road), Quirino and Aurora</t>
  </si>
  <si>
    <t>Jct.Abbag-Nagtipunan-A. Castaneda/Nagtipunan-Digdig  Road, Quirino, Nueva Vizcaya  and Nueva Ecija.</t>
  </si>
  <si>
    <t>Region III, NCR</t>
  </si>
  <si>
    <t>Abra-Cervantes Road, Abra, Ilocos Sur</t>
  </si>
  <si>
    <t>Apayao-Ilocos Norte Road, Apayao, Ilocos Norte</t>
  </si>
  <si>
    <t>Major Inter-Regional Bridge Reconstruction  for Rural Development, JICA-Assisted (Luzon)</t>
  </si>
  <si>
    <t>Rehabilitation and Maintenance of Bridges along Arterial Roads, Phase V (Luzon)</t>
  </si>
  <si>
    <t>C-6 Expressway and Global city Link, NLEx  between Marilao and Bocaue to Skyway at Bicutan, Eastern Metro Manila, Bulacan and Rizal</t>
  </si>
  <si>
    <t>NCR, III, IV-A</t>
  </si>
  <si>
    <t>Operation and Maintenance of Marcos Highway and Kennon Road</t>
  </si>
  <si>
    <t>CAR, NCR</t>
  </si>
  <si>
    <t>Bayawan-Kabankalan Road, Negros Oriental, Occidental</t>
  </si>
  <si>
    <t>Region VI, VII</t>
  </si>
  <si>
    <t>Major Inter-Regional Bridge Reconstruction  for Rural Development, JICA-Assisted (Visayas)</t>
  </si>
  <si>
    <t>Rehabilitation and Maintenance of Bridges along Arterial Roads, Phase V (Visayas)</t>
  </si>
  <si>
    <t>Tubod-Madamba/ Ganassi Road, Lanao Del Sur/ Norte</t>
  </si>
  <si>
    <t>Region X, XII</t>
  </si>
  <si>
    <t>Butuan city, Agusan Del Norte-Misamis Oriental Road, Misamis, Agusan Del Norte</t>
  </si>
  <si>
    <t>Region X, XIII</t>
  </si>
  <si>
    <t>Davao City-Digos Road(Davao-Cotabato Road), Davao, South Cotabato</t>
  </si>
  <si>
    <t>Region XI, XII</t>
  </si>
  <si>
    <t>Digos-Gen Santos Road(Digos-Makar Road), Davao, Sultan Kudarat</t>
  </si>
  <si>
    <t>Major Inter-Regional Bridge Reconstruction  for Rural Development, JICA-Assisted (Mindanao)</t>
  </si>
  <si>
    <t>Rehabilitation and Maintenance of Bridges along Arterial Roads, Phase V (Mindanao)</t>
  </si>
  <si>
    <t xml:space="preserve">JICA Grant Aid Project -Pro Agri Fishery Integrated Corridors Bridge Project in Mindanao (Western and Central Mindanao)
</t>
  </si>
  <si>
    <t>Improvement of Quality Management for Highway and Bridge Construction and Maintenance, Phase II</t>
  </si>
  <si>
    <t>Region CAR, VII, XI</t>
  </si>
  <si>
    <t>Konkreto at Ayos na Lansangan ang Daan tungo sa Pangkalahatang Kaunlaran (KALSADA)*</t>
  </si>
  <si>
    <t>BCDA</t>
  </si>
  <si>
    <t>Fisheries, Coastal Resources and Livelihood (FishCoRAL) Project</t>
  </si>
  <si>
    <t>Region IVB, V, VIII, XIII, ARMM</t>
  </si>
  <si>
    <t>Urban Transportation</t>
  </si>
  <si>
    <t>NCR and adjacent provinces</t>
  </si>
  <si>
    <t>MAPALLA Ferry System Feasibility Study</t>
  </si>
  <si>
    <t>Water Transportation</t>
  </si>
  <si>
    <t>Regions III, IV &amp; NCR</t>
  </si>
  <si>
    <t>AFAB</t>
  </si>
  <si>
    <t>PMO Offices - TMO-Currimao, TMO- Aparri, TMO- Masinloc and TMO-San Fernando La Union</t>
  </si>
  <si>
    <t>Region I, II, III</t>
  </si>
  <si>
    <t>Provide safety and security measures</t>
  </si>
  <si>
    <t>Environmental quality improved</t>
  </si>
  <si>
    <t>Improve wastewater and solid waste management</t>
  </si>
  <si>
    <t>Social Infrastructure</t>
  </si>
  <si>
    <t>Sanitation/Sewerage/Septage Management</t>
  </si>
  <si>
    <t>Pursue energy and water security</t>
  </si>
  <si>
    <t>2011-2013</t>
  </si>
  <si>
    <t>Optimize infrastructure investment</t>
  </si>
  <si>
    <t>Improve coordination and planning, streamline government processes.</t>
  </si>
  <si>
    <t>Support Agricultural Production</t>
  </si>
  <si>
    <t>Public-Private Partnership (PPP) for School Infrastructure Project (PSIP) Phase II******</t>
  </si>
  <si>
    <t>Batangas to Manila Gas Pipeline</t>
  </si>
  <si>
    <t>Energy</t>
  </si>
  <si>
    <t>DOE</t>
  </si>
  <si>
    <t>Support measures to improve air quality</t>
  </si>
  <si>
    <t>Water Resources</t>
  </si>
  <si>
    <t>Water Supply</t>
  </si>
  <si>
    <t>Multi-sectoral</t>
  </si>
  <si>
    <t>Irrigation</t>
  </si>
  <si>
    <t>Angat Water Transmission Improvement Project (AWTIP)</t>
  </si>
  <si>
    <t xml:space="preserve">New Centennial Water Source - Kaliwa Dam Project (NCWS-KDP) </t>
  </si>
  <si>
    <t>DAR</t>
  </si>
  <si>
    <t>Spatial Coverage</t>
  </si>
  <si>
    <t>TOTAL</t>
  </si>
  <si>
    <t>Spatial Coverage (Region)</t>
  </si>
  <si>
    <t>I</t>
  </si>
  <si>
    <t>II</t>
  </si>
  <si>
    <t>III</t>
  </si>
  <si>
    <t>IV-A</t>
  </si>
  <si>
    <t>IV-B</t>
  </si>
  <si>
    <t>V</t>
  </si>
  <si>
    <t>VI</t>
  </si>
  <si>
    <t>VII</t>
  </si>
  <si>
    <t>VIII</t>
  </si>
  <si>
    <t>IX</t>
  </si>
  <si>
    <t>X</t>
  </si>
  <si>
    <t>XI</t>
  </si>
  <si>
    <t>XII</t>
  </si>
  <si>
    <r>
      <t xml:space="preserve">Spatial Coverage
</t>
    </r>
    <r>
      <rPr>
        <sz val="12"/>
        <color indexed="9"/>
        <rFont val="Times New Roman"/>
        <family val="1"/>
      </rPr>
      <t>(Province)</t>
    </r>
  </si>
  <si>
    <t>DILG</t>
  </si>
  <si>
    <t>DOST</t>
  </si>
  <si>
    <t>(AG)</t>
  </si>
  <si>
    <t>(AH)</t>
  </si>
  <si>
    <t>(AI)</t>
  </si>
  <si>
    <t>(AJ)</t>
  </si>
  <si>
    <t>No Annual Funding Breakdown</t>
  </si>
  <si>
    <t>Other Sources / No Funding Source Provided</t>
  </si>
  <si>
    <t>DA</t>
  </si>
  <si>
    <t>Saudi Fund Development Mindanao Road Improvement Projects, Phase I  
Additional Funds due to change in scope</t>
  </si>
  <si>
    <t>OPAFSAM</t>
  </si>
  <si>
    <t>Attached / Implementing</t>
  </si>
  <si>
    <t>Mother / 
Oversight</t>
  </si>
  <si>
    <r>
      <t>Grand Total</t>
    </r>
    <r>
      <rPr>
        <b/>
        <i/>
        <sz val="12"/>
        <color indexed="9"/>
        <rFont val="Times New Roman"/>
        <family val="1"/>
      </rPr>
      <t xml:space="preserve"> (2013-2017 and beyond, including projects with no breakdown)</t>
    </r>
  </si>
  <si>
    <t>Integrated Transport System - North</t>
  </si>
  <si>
    <t>Integrated Transport System - South (FTI)</t>
  </si>
  <si>
    <t>Integrated Transport System - Southwest (PRA)</t>
  </si>
  <si>
    <t>Total Region-Specific</t>
  </si>
  <si>
    <t># Agencies</t>
  </si>
  <si>
    <t>NCR, 
Region III</t>
  </si>
  <si>
    <t>*Note: Includes attached agencies and other implementing partners (private sector, LGUs)</t>
  </si>
  <si>
    <t>Name</t>
  </si>
  <si>
    <t># of Projects</t>
  </si>
  <si>
    <t>Agency Project Distribution</t>
  </si>
  <si>
    <t>Agency Investment Distribution (In Thousand PhP)</t>
  </si>
  <si>
    <t>J</t>
  </si>
  <si>
    <t>K</t>
  </si>
  <si>
    <t>L</t>
  </si>
  <si>
    <t>M</t>
  </si>
  <si>
    <t>N</t>
  </si>
  <si>
    <t>O</t>
  </si>
  <si>
    <t>P</t>
  </si>
  <si>
    <t>Q</t>
  </si>
  <si>
    <t>R</t>
  </si>
  <si>
    <t>S</t>
  </si>
  <si>
    <t>T</t>
  </si>
  <si>
    <t>U</t>
  </si>
  <si>
    <t>Y</t>
  </si>
  <si>
    <t>Z</t>
  </si>
  <si>
    <t>A</t>
  </si>
  <si>
    <t>B</t>
  </si>
  <si>
    <t>C</t>
  </si>
  <si>
    <t>D</t>
  </si>
  <si>
    <t>E</t>
  </si>
  <si>
    <t>F</t>
  </si>
  <si>
    <t>H</t>
  </si>
  <si>
    <t>G</t>
  </si>
  <si>
    <t>=Consolidated!</t>
  </si>
  <si>
    <t>Region</t>
  </si>
  <si>
    <t>Infrastructure Financing Windows</t>
  </si>
  <si>
    <t>DOF</t>
  </si>
  <si>
    <t>Solid Waste Management</t>
  </si>
  <si>
    <t>Development and Operation of Waste-to-Energy Facilities</t>
  </si>
  <si>
    <t>Health</t>
  </si>
  <si>
    <t>Education</t>
  </si>
  <si>
    <t>Basic Education Sector
Transformation (BEST)</t>
  </si>
  <si>
    <t>Housing</t>
  </si>
  <si>
    <t>NCR, Regions III &amp; IV-A</t>
  </si>
  <si>
    <t xml:space="preserve">NCR, CAR, 1, 2, 3, 4A, 5, 7, 8, 9, 10, 11, 12, 13, ARMM </t>
  </si>
  <si>
    <t>DOH-United States Agency for International  Development (USAID) Family Health Program</t>
  </si>
  <si>
    <t>Reclamation</t>
  </si>
  <si>
    <t>IV-B, V, VI, VII, VIII, CARAGA</t>
  </si>
  <si>
    <t>Reconstruction and Rehabilitation of Yolanda-Affected Areas</t>
  </si>
  <si>
    <t>HUDCC</t>
  </si>
  <si>
    <r>
      <t xml:space="preserve">Investment Cost
</t>
    </r>
    <r>
      <rPr>
        <sz val="11"/>
        <color indexed="9"/>
        <rFont val="Calibri"/>
        <family val="2"/>
      </rPr>
      <t>(in Thousand PhP)</t>
    </r>
  </si>
  <si>
    <t>*Note: # of projects by funding source were not provided since a lot of projects had combined sources</t>
  </si>
  <si>
    <t>Agency Breakdown</t>
  </si>
  <si>
    <t>Spatial Coverage Breakdown</t>
  </si>
  <si>
    <t>Funding Source Breakdown</t>
  </si>
  <si>
    <t>Sectoral Breakdown</t>
  </si>
  <si>
    <t>Sector (Breakdown)</t>
  </si>
  <si>
    <t>Other Notes</t>
  </si>
  <si>
    <t>2017-Beyond</t>
  </si>
  <si>
    <t>W</t>
  </si>
  <si>
    <t>$1321</t>
  </si>
  <si>
    <t>=Consolidated!HX$1321</t>
  </si>
  <si>
    <t>=Consolidated!IM$1321</t>
  </si>
  <si>
    <t>=Consolidated!IN$1321</t>
  </si>
  <si>
    <t>=Consolidated!IO$1321</t>
  </si>
  <si>
    <t>=Consolidated!IP$1321</t>
  </si>
  <si>
    <t>=Consolidated!IQ$1321</t>
  </si>
  <si>
    <t>=Consolidated!IR$1321</t>
  </si>
  <si>
    <r>
      <t xml:space="preserve">Investment Cost 
</t>
    </r>
    <r>
      <rPr>
        <sz val="11"/>
        <color indexed="9"/>
        <rFont val="Calibri"/>
        <family val="2"/>
      </rPr>
      <t>(in Thousand PhP)</t>
    </r>
  </si>
  <si>
    <t>No Annual Breakdown</t>
  </si>
  <si>
    <t>Others / Source Not Indicated</t>
  </si>
  <si>
    <t>=Consolidated!CA$1321</t>
  </si>
  <si>
    <t>=Consolidated!CB$1321</t>
  </si>
  <si>
    <t>=Consolidated!CC$1321</t>
  </si>
  <si>
    <t>=Consolidated!CD$1321</t>
  </si>
  <si>
    <t>=Consolidated!CE$1321</t>
  </si>
  <si>
    <t>=Consolidated!CF$1321</t>
  </si>
  <si>
    <t>=Consolidated!CG$1321</t>
  </si>
  <si>
    <t>=Consolidated!CH$1321</t>
  </si>
  <si>
    <t>=Consolidated!CJ$1321</t>
  </si>
  <si>
    <t>=Consolidated!CK$1321</t>
  </si>
  <si>
    <t>=Consolidated!CL$1321</t>
  </si>
  <si>
    <t>=Consolidated!CM$1321</t>
  </si>
  <si>
    <t>=Consolidated!CN$1321</t>
  </si>
  <si>
    <t>=Consolidated!CO$1321</t>
  </si>
  <si>
    <t>=Consolidated!CP$1321</t>
  </si>
  <si>
    <t>=Consolidated!CQ$1321</t>
  </si>
  <si>
    <t>=Consolidated!CS$1321</t>
  </si>
  <si>
    <t>=Consolidated!CT$1321</t>
  </si>
  <si>
    <t>=Consolidated!CU$1321</t>
  </si>
  <si>
    <t>=Consolidated!CV$1321</t>
  </si>
  <si>
    <t>=Consolidated!CW$1321</t>
  </si>
  <si>
    <t>=Consolidated!CX$1321</t>
  </si>
  <si>
    <t>=Consolidated!CY$1321</t>
  </si>
  <si>
    <t>=Consolidated!CZ$1321</t>
  </si>
  <si>
    <t>=Consolidated!DB$1321</t>
  </si>
  <si>
    <t>=Consolidated!DC$1321</t>
  </si>
  <si>
    <t>=Consolidated!DD$1321</t>
  </si>
  <si>
    <t>=Consolidated!DE$1321</t>
  </si>
  <si>
    <t>=Consolidated!DF$1321</t>
  </si>
  <si>
    <t>=Consolidated!DG$1321</t>
  </si>
  <si>
    <t>=Consolidated!DH$1321</t>
  </si>
  <si>
    <t>=Consolidated!DI$1321</t>
  </si>
  <si>
    <t>=Consolidated!JE$1321</t>
  </si>
  <si>
    <t>=Consolidated!JF$1321</t>
  </si>
  <si>
    <t>=Consolidated!JG$1321</t>
  </si>
  <si>
    <t>=Consolidated!JH$1321</t>
  </si>
  <si>
    <t>=Consolidated!JI$1321</t>
  </si>
  <si>
    <t>=Consolidated!JJ$1321</t>
  </si>
  <si>
    <t>=Consolidated!JK$1321</t>
  </si>
  <si>
    <t>=Consolidated!JL$1321</t>
  </si>
  <si>
    <t>=Consolidated!JM$1321</t>
  </si>
  <si>
    <t>=Consolidated!JN$1321</t>
  </si>
  <si>
    <t>=Consolidated!JO$1321</t>
  </si>
  <si>
    <t>=Consolidated!JP$1321</t>
  </si>
  <si>
    <t>=Consolidated!JQ$1321</t>
  </si>
  <si>
    <t>=Consolidated!JR$1321</t>
  </si>
  <si>
    <t>=Consolidated!JS$1321</t>
  </si>
  <si>
    <t>=Consolidated!JT$1321</t>
  </si>
  <si>
    <t>=Consolidated!JU$1321</t>
  </si>
  <si>
    <t>=Consolidated!JV$1321</t>
  </si>
  <si>
    <t>=Consolidated!JW$1321</t>
  </si>
  <si>
    <t>=Consolidated!JX$1321</t>
  </si>
  <si>
    <t>=Consolidated!JY$1321</t>
  </si>
  <si>
    <t>=Consolidated!JZ$1321</t>
  </si>
  <si>
    <t>=Consolidated!KA$1321</t>
  </si>
  <si>
    <t>=Consolidated!KB$1321</t>
  </si>
  <si>
    <t>=Consolidated!KC$1321</t>
  </si>
  <si>
    <t>=Consolidated!KD$1321</t>
  </si>
  <si>
    <t>=Consolidated!KE$1321</t>
  </si>
  <si>
    <t>=Consolidated!KF$1321</t>
  </si>
  <si>
    <t>=Consolidated!KG$1321</t>
  </si>
  <si>
    <t>=Consolidated!KH$1321</t>
  </si>
  <si>
    <t>=Consolidated!KI$1321</t>
  </si>
  <si>
    <t>=Consolidated!KJ$1321</t>
  </si>
  <si>
    <t>=Consolidated!KK$1321</t>
  </si>
  <si>
    <t>=Consolidated!KL$1321</t>
  </si>
  <si>
    <t>=Consolidated!KM$1321</t>
  </si>
  <si>
    <t>=Consolidated!KN$1321</t>
  </si>
  <si>
    <t>=Consolidated!KO$1321</t>
  </si>
  <si>
    <t>=Consolidated!KP$1321</t>
  </si>
  <si>
    <t>=Consolidated!KQ$1321</t>
  </si>
  <si>
    <t>=Consolidated!KR$1321</t>
  </si>
  <si>
    <t>=Consolidated!KS$1321</t>
  </si>
  <si>
    <t>=Consolidated!KT$1321</t>
  </si>
  <si>
    <t>=Consolidated!KU$1321</t>
  </si>
  <si>
    <t>=Consolidated!KV$1321</t>
  </si>
  <si>
    <t>=Consolidated!KW$1321</t>
  </si>
  <si>
    <t>=Consolidated!KX$1321</t>
  </si>
  <si>
    <t>=Consolidated!KY$1321</t>
  </si>
  <si>
    <t>=Consolidated!KZ$1321</t>
  </si>
  <si>
    <t>=Consolidated!LA$1321</t>
  </si>
  <si>
    <t>=Consolidated!LB$1321</t>
  </si>
  <si>
    <t>=Consolidated!LC$1321</t>
  </si>
  <si>
    <t>=Consolidated!LD$1321</t>
  </si>
  <si>
    <t>=Consolidated!LE$1321</t>
  </si>
  <si>
    <t>=Consolidated!LF$1321</t>
  </si>
  <si>
    <t>=Consolidated!LG$1321</t>
  </si>
  <si>
    <t>=Consolidated!LH$1321</t>
  </si>
  <si>
    <t>=Consolidated!LI$1321</t>
  </si>
  <si>
    <t>=Consolidated!LJ$1321</t>
  </si>
  <si>
    <t>=Consolidated!LK$1321</t>
  </si>
  <si>
    <t>=Consolidated!LL$1321</t>
  </si>
  <si>
    <t>=Consolidated!LM$1321</t>
  </si>
  <si>
    <t>=Consolidated!LN$1321</t>
  </si>
  <si>
    <t>=Consolidated!LO$1321</t>
  </si>
  <si>
    <t>=Consolidated!LP$1321</t>
  </si>
  <si>
    <t>=Consolidated!LQ$1321</t>
  </si>
  <si>
    <t>=Consolidated!LR$1321</t>
  </si>
  <si>
    <t>=Consolidated!LS$1321</t>
  </si>
  <si>
    <t>=Consolidated!LT$1321</t>
  </si>
  <si>
    <t>=Consolidated!LU$1321</t>
  </si>
  <si>
    <t>=Consolidated!LV$1321</t>
  </si>
  <si>
    <t>=Consolidated!LW$1321</t>
  </si>
  <si>
    <t>=Consolidated!LX$1321</t>
  </si>
  <si>
    <t>=Consolidated!LY$1321</t>
  </si>
  <si>
    <t>=Consolidated!LZ$1321</t>
  </si>
  <si>
    <t>Region Not indicated</t>
  </si>
  <si>
    <t>=Consolidated!MA$1321</t>
  </si>
  <si>
    <t>=Consolidated!MB$1321</t>
  </si>
  <si>
    <t>=Consolidated!MC$1321</t>
  </si>
  <si>
    <t>=Consolidated!MD$1321</t>
  </si>
  <si>
    <t>=Consolidated!ME$1321</t>
  </si>
  <si>
    <t>=Consolidated!MF$1321</t>
  </si>
  <si>
    <t>=Consolidated!MG$1321</t>
  </si>
  <si>
    <t>=Consolidated!MH$1321</t>
  </si>
  <si>
    <t>=Consolidated!MI$1321</t>
  </si>
  <si>
    <t>=Consolidated!MJ$1321</t>
  </si>
  <si>
    <t>=Consolidated!MK$1321</t>
  </si>
  <si>
    <t>=Consolidated!ML$1321</t>
  </si>
  <si>
    <t>=Consolidated!MM$1321</t>
  </si>
  <si>
    <t>=Consolidated!MN$1321</t>
  </si>
  <si>
    <t>=Consolidated!MO$1321</t>
  </si>
  <si>
    <t>=Consolidated!MP$1321</t>
  </si>
  <si>
    <t>=Consolidated!MQ$1321</t>
  </si>
  <si>
    <t>=Consolidated!MR$1321</t>
  </si>
  <si>
    <t>=Consolidated!MS$1321</t>
  </si>
  <si>
    <t>=Consolidated!MT$1321</t>
  </si>
  <si>
    <t>=Consolidated!MU$1321</t>
  </si>
  <si>
    <t>=Consolidated!MV$1321</t>
  </si>
  <si>
    <t>=Consolidated!MW$1321</t>
  </si>
  <si>
    <t>=Consolidated!MX$1321</t>
  </si>
  <si>
    <t>CIIP SUMMARY TABLES &amp; CHARTS</t>
  </si>
  <si>
    <t>Annual Breakdown Not Indicated</t>
  </si>
  <si>
    <t>Year Start (Breakdown)</t>
  </si>
  <si>
    <t>No Costs Provided</t>
  </si>
  <si>
    <t>Year End (Breakdown)</t>
  </si>
  <si>
    <t>Start</t>
  </si>
  <si>
    <t>End</t>
  </si>
  <si>
    <t>Total Projects</t>
  </si>
  <si>
    <t>No Costs</t>
  </si>
  <si>
    <t>% of Projects Completed</t>
  </si>
  <si>
    <t xml:space="preserve">Payapa at Masaganang Pamayanan (PAMANA)- DILG Fund </t>
  </si>
  <si>
    <t xml:space="preserve">Forest Protection </t>
  </si>
  <si>
    <t>Enable development in conflict-affected areas</t>
  </si>
  <si>
    <t xml:space="preserve">Address infrastructure gaps in far-flung areas </t>
  </si>
  <si>
    <t>Improve business climate</t>
  </si>
  <si>
    <t>Infrastructure Intermediate Outcomes and Strategies</t>
  </si>
  <si>
    <t>Total</t>
  </si>
  <si>
    <t>Public Safety</t>
  </si>
  <si>
    <t>Infrastructure Type</t>
  </si>
  <si>
    <t>Hard Infrastructure</t>
  </si>
  <si>
    <t>Administrative</t>
  </si>
  <si>
    <t>Study</t>
  </si>
  <si>
    <t>Procurement</t>
  </si>
  <si>
    <t>Capacity Development</t>
  </si>
  <si>
    <t>No. of Projects to Start Implementation</t>
  </si>
  <si>
    <t>No. Projects to be Completed</t>
  </si>
  <si>
    <t>Type</t>
  </si>
  <si>
    <t>Year</t>
  </si>
  <si>
    <t>DOJ</t>
  </si>
  <si>
    <t>Soft Infrastructure</t>
  </si>
  <si>
    <t>Multipurpose Facilities</t>
  </si>
  <si>
    <t>Government Buildings</t>
  </si>
  <si>
    <t>Financing Windows</t>
  </si>
  <si>
    <t>CIP Amount</t>
  </si>
  <si>
    <t>Investment Cost</t>
  </si>
  <si>
    <t>Proposed NG Spending</t>
  </si>
  <si>
    <t>Table 4. CIIP Public Investment Requirements vis-à-vis PDP Target, in Billion PhP</t>
  </si>
  <si>
    <t>No. of Projects Remaining</t>
  </si>
  <si>
    <t>(Started projects + Remaining Projects from previous year - Completed projects)</t>
  </si>
  <si>
    <t>% of Ongoing Projects to be Completed</t>
  </si>
  <si>
    <t>Table 3. CIIP Status of Project Implementation, No. of Projects per Year (2013-2016)</t>
  </si>
  <si>
    <t>Projects Currently being Implemented without NEDA Board Approval</t>
  </si>
  <si>
    <t>#</t>
  </si>
  <si>
    <t>Name of Agency</t>
  </si>
  <si>
    <t>Contribution to PDP Outcome</t>
  </si>
  <si>
    <t>PDP Outcome (Breakdown)</t>
  </si>
  <si>
    <t>No. of Projects</t>
  </si>
  <si>
    <t xml:space="preserve">Competitiveness enhanced </t>
  </si>
  <si>
    <t>Safer environment created</t>
  </si>
  <si>
    <t>Basic infrastructure services enhanced</t>
  </si>
  <si>
    <t>Summary Table</t>
  </si>
  <si>
    <t>Year of Target
Completion</t>
  </si>
  <si>
    <r>
      <t xml:space="preserve">Total Investment Cost
</t>
    </r>
    <r>
      <rPr>
        <sz val="11"/>
        <color theme="1"/>
        <rFont val="Calibri"/>
        <family val="2"/>
        <scheme val="minor"/>
      </rPr>
      <t xml:space="preserve"> </t>
    </r>
    <r>
      <rPr>
        <i/>
        <sz val="11"/>
        <color indexed="8"/>
        <rFont val="Calibri"/>
        <family val="2"/>
      </rPr>
      <t>(in Thousand PhP)</t>
    </r>
  </si>
  <si>
    <t>Competitiveness</t>
  </si>
  <si>
    <t>Basic Infrastructure Services</t>
  </si>
  <si>
    <t>Total No. of Proposed Projects</t>
  </si>
  <si>
    <t>Cost of Proposed CIP Projects</t>
  </si>
  <si>
    <t>No. of CIPs to be Completed by 2016</t>
  </si>
  <si>
    <t>Cost of Proposed CIPs</t>
  </si>
  <si>
    <t>No. of CIPs to be Completed by 2014</t>
  </si>
  <si>
    <t>No. of CIPs to be Completed by 2015</t>
  </si>
  <si>
    <t>Proposed Projects for 2015</t>
  </si>
  <si>
    <t>Proposed Projects for 2016</t>
  </si>
  <si>
    <t>No. of Proposed Projects for 2014-2016</t>
  </si>
  <si>
    <t>Proposed CIPs for 2014</t>
  </si>
  <si>
    <t>Proposed CIPs for 2015</t>
  </si>
  <si>
    <t>Proposed CIPs for 2016</t>
  </si>
  <si>
    <t>No. of Proposed CIPs for 2014-2016</t>
  </si>
  <si>
    <t>2013-Beyond Proposed</t>
  </si>
  <si>
    <t>2014-2016 Proposed</t>
  </si>
  <si>
    <t>No. of CIPs w/ NEDA</t>
  </si>
  <si>
    <t>Tables</t>
  </si>
  <si>
    <t>All Priority Projects Under the CIIP</t>
  </si>
  <si>
    <t>Projects Surpassing the ICC Threshold (CIPs)</t>
  </si>
  <si>
    <t>CIPs Submitted to /Approved by NEDA</t>
  </si>
  <si>
    <t>Year of Target Implementation</t>
  </si>
  <si>
    <t>Proposed CIPs with Submission to/Approved by NEDA</t>
  </si>
  <si>
    <t>CIPs to be Completed Costs</t>
  </si>
  <si>
    <t>CIPs to be Completed 2014-2016</t>
  </si>
  <si>
    <t>Consistency Check</t>
  </si>
  <si>
    <t>TABLE NAME</t>
  </si>
  <si>
    <t>Result</t>
  </si>
  <si>
    <t>10 - Accelerating infrastructure development</t>
  </si>
  <si>
    <t>9 - Sustainable and climate-resilient environment and natural resources</t>
  </si>
  <si>
    <t>8 - Peace and security</t>
  </si>
  <si>
    <t>7 - Good governance and the rule of law</t>
  </si>
  <si>
    <t>6 - Social development</t>
  </si>
  <si>
    <t>5 - Resilient and inclusive financial system</t>
  </si>
  <si>
    <t>4 - Competitive and sustainable agriculture and fisheries sector</t>
  </si>
  <si>
    <t>Eco-Zone / Industrial Zone</t>
  </si>
  <si>
    <t>3 - Competitive and innovative industry and services sectors</t>
  </si>
  <si>
    <t>2 - Macroeconomic policy</t>
  </si>
  <si>
    <t>Multi-Year</t>
  </si>
  <si>
    <t>No</t>
  </si>
  <si>
    <t>1 - A roadmap to inclusive growth</t>
  </si>
  <si>
    <t>Single Expenditure</t>
  </si>
  <si>
    <t>Yes</t>
  </si>
  <si>
    <t>Investment Type</t>
  </si>
  <si>
    <t>Yes/No</t>
  </si>
  <si>
    <t>Project Status</t>
  </si>
  <si>
    <t>OUTCOMES</t>
  </si>
  <si>
    <t>OTHERS</t>
  </si>
  <si>
    <t>TRANSPORTATION</t>
  </si>
  <si>
    <t>SECTOR</t>
  </si>
  <si>
    <r>
      <t>Project Status</t>
    </r>
    <r>
      <rPr>
        <sz val="12"/>
        <color indexed="9"/>
        <rFont val="Times New Roman"/>
        <family val="1"/>
      </rPr>
      <t xml:space="preserve">
(Ongoing / Proposed / Completed / Others)</t>
    </r>
  </si>
  <si>
    <r>
      <t xml:space="preserve">Unified Accounts Code Structure (UACS)
</t>
    </r>
    <r>
      <rPr>
        <sz val="12"/>
        <color indexed="9"/>
        <rFont val="Times New Roman"/>
        <family val="1"/>
      </rPr>
      <t>(Project Code)</t>
    </r>
  </si>
  <si>
    <t>Competitiveness enhanced</t>
  </si>
  <si>
    <t>ENERGY</t>
  </si>
  <si>
    <t>(AK)</t>
  </si>
  <si>
    <t>(AL)</t>
  </si>
  <si>
    <t>(AM)</t>
  </si>
  <si>
    <t>(AN)</t>
  </si>
  <si>
    <t>SOCIAL INFRASTRUCTURE</t>
  </si>
  <si>
    <t>WATER RESOURCES</t>
  </si>
  <si>
    <t>Others / Combination</t>
  </si>
  <si>
    <t>Proposed Projects for 2014-2016</t>
  </si>
  <si>
    <t xml:space="preserve">LRT Line 2 East Extension Project
</t>
  </si>
  <si>
    <t>DFA</t>
  </si>
  <si>
    <t>CHED</t>
  </si>
  <si>
    <t>Visayas and Mindanao</t>
  </si>
  <si>
    <t>Construction of Standard Engineering Laboratory Building</t>
  </si>
  <si>
    <t xml:space="preserve">Region V; VI; XI and XIII </t>
  </si>
  <si>
    <t>Establishment of Livelihood Training Center</t>
  </si>
  <si>
    <t>Region IV; V; and XII</t>
  </si>
  <si>
    <t>Establishment of Fiber Extraction Facilities needed for degumming and spinning/weaving to produce tropical fabrics</t>
  </si>
  <si>
    <t>Region IV; V VII; VIII; IX; X; XI</t>
  </si>
  <si>
    <t>Establishment of Fiber Extraction Facilities</t>
  </si>
  <si>
    <t>CARAGA (XIII)</t>
  </si>
  <si>
    <t>Bridge Replacement Project  UK-assisted                                                                                            Previously Bridge for Prosperity Acceleration Project UK-assisted (Mindanao)</t>
  </si>
  <si>
    <t>Bridge Replacement Project  UK-assisted                                                                                            Previously Bridge for Prosperity Acceleration Project UK-assisted  (Luzon)</t>
  </si>
  <si>
    <t>Angat Dam and Dike Strengthening Project (ADDSP)</t>
  </si>
  <si>
    <t>Inter-Agency/Others</t>
  </si>
  <si>
    <t>HLURB</t>
  </si>
  <si>
    <t>Implementation and Monitoring of Payapa and Masaganang Pamayanan (PAMANA)
- Farm-to-Market Roads</t>
  </si>
  <si>
    <t>Public-Private Partnership (PPP) for School Infrastructure Project (PSIP) Phase I</t>
  </si>
  <si>
    <t>.</t>
  </si>
  <si>
    <r>
      <t xml:space="preserve">Population 
</t>
    </r>
    <r>
      <rPr>
        <sz val="11"/>
        <color indexed="9"/>
        <rFont val="Calibri"/>
        <family val="2"/>
      </rPr>
      <t>(As of 2010 Census)</t>
    </r>
  </si>
  <si>
    <t>n/a</t>
  </si>
  <si>
    <t>Region/Coverage</t>
  </si>
  <si>
    <t>Interregional/ Multiregional</t>
  </si>
  <si>
    <r>
      <t xml:space="preserve">Investment per Unit Population
</t>
    </r>
    <r>
      <rPr>
        <sz val="11"/>
        <color indexed="9"/>
        <rFont val="Calibri"/>
        <family val="2"/>
      </rPr>
      <t>(in PhP)</t>
    </r>
  </si>
  <si>
    <t>Table 2. CIIP Investment Requirements, by Region</t>
  </si>
  <si>
    <t>Table 1. Top 10 Agencies with the Largest Investment Requirements in the CIIP</t>
  </si>
  <si>
    <r>
      <t xml:space="preserve">Investment Cost
</t>
    </r>
    <r>
      <rPr>
        <sz val="10"/>
        <color indexed="9"/>
        <rFont val="Calibri"/>
        <family val="2"/>
      </rPr>
      <t>(in Thousand PhP)</t>
    </r>
  </si>
  <si>
    <t>Nationwide + Interregional + No Specific Region</t>
  </si>
  <si>
    <r>
      <t xml:space="preserve">NG-GAA </t>
    </r>
    <r>
      <rPr>
        <i/>
        <sz val="10"/>
        <color indexed="10"/>
        <rFont val="Calibri"/>
        <family val="2"/>
      </rPr>
      <t>(actual GAA for 2015)</t>
    </r>
  </si>
  <si>
    <t xml:space="preserve">Repair and Rehabilitation of Academic Buildings, including Purchase of Equipment (SHS in Tacloban) </t>
  </si>
  <si>
    <t>Check</t>
  </si>
  <si>
    <t>Investment Cost 
(in Thousand PhP)</t>
  </si>
  <si>
    <t>Population 
(As of 2010 Census)</t>
  </si>
  <si>
    <t>Investment per Unit Population
(in PhP)</t>
  </si>
  <si>
    <t>2013 Gross Regional Domestic Product (GRDP)</t>
  </si>
  <si>
    <t>% Average Regional Investment (2013-2016) to GRDP (2013)</t>
  </si>
  <si>
    <t>% Average Regional Infrastructure Investment (2013-2016) to Gross Regional Domestic Product (2013), in Thousand PhP</t>
  </si>
  <si>
    <r>
      <t xml:space="preserve">Average Regional Investment 
</t>
    </r>
    <r>
      <rPr>
        <sz val="11"/>
        <color indexed="9"/>
        <rFont val="Calibri"/>
        <family val="2"/>
      </rPr>
      <t>(2013-2016)</t>
    </r>
  </si>
  <si>
    <t>Annual Targets - High GDP Est.</t>
  </si>
  <si>
    <t xml:space="preserve">                            - Low GDP Est.</t>
  </si>
  <si>
    <t>DepED</t>
  </si>
  <si>
    <t>2011-2013
Ave. Absorptive Capacity</t>
  </si>
  <si>
    <t>Absroptive Capacity by Year</t>
  </si>
  <si>
    <t>Agency</t>
  </si>
  <si>
    <t>Absorptive Capacity of Top Infrastructure Agencies, in %</t>
  </si>
  <si>
    <t>Ave. AC</t>
  </si>
  <si>
    <t>AC</t>
  </si>
  <si>
    <t>Obligation</t>
  </si>
  <si>
    <t>Allotment</t>
  </si>
  <si>
    <t>Capital Outlay (CO) Absorptive Capacity (AC) of the Top 10 Agencies, in Million PhP</t>
  </si>
  <si>
    <t>Distributed Costs for Interregional, Nationwide, Region Specific</t>
  </si>
  <si>
    <t>New Investment Cost</t>
  </si>
  <si>
    <t>Distributed costs for 2013</t>
  </si>
  <si>
    <t>Distributed costs for 2014</t>
  </si>
  <si>
    <t>Distributed costs for 2015</t>
  </si>
  <si>
    <t>Distributed costs for 2016</t>
  </si>
  <si>
    <t>NEW 2013</t>
  </si>
  <si>
    <t>NEW 2014</t>
  </si>
  <si>
    <t>NEW 2015</t>
  </si>
  <si>
    <t>NEW 2016</t>
  </si>
  <si>
    <t>Average Regional Investment 
(2013-2016)</t>
  </si>
  <si>
    <t>2055*</t>
  </si>
  <si>
    <t>2013-2016 cost</t>
  </si>
  <si>
    <t>* Note: Includes 309 projects classified as nationwide/interregional and those with no indicated region</t>
  </si>
  <si>
    <t>Region Not Indicated</t>
  </si>
  <si>
    <t>* Note: Includes 289 projects classified as nationwide/interregional</t>
  </si>
  <si>
    <t>Cost</t>
  </si>
  <si>
    <t>Adjustment</t>
  </si>
  <si>
    <t>FINAL INVESTMENT COST</t>
  </si>
  <si>
    <t>Adjustment distributing Nationwide and remaining interregional projs</t>
  </si>
  <si>
    <t>NEW2013</t>
  </si>
  <si>
    <t>NEW2014</t>
  </si>
  <si>
    <t>2013 to 2017 beyond</t>
  </si>
  <si>
    <t>2013 to 2016</t>
  </si>
  <si>
    <t>Adjustment for 2013-2016</t>
  </si>
  <si>
    <t>Remaining Interregional cost</t>
  </si>
  <si>
    <t>FINAL</t>
  </si>
  <si>
    <t>*Note: This refers only to the capital outlay usage and not of the total budget allocated for the agency</t>
  </si>
  <si>
    <t>*Note: This refers to the utilization total budget allocated for the agency,
therefore, Personnel Service + MOOE + Capital Outlay</t>
  </si>
  <si>
    <t>*Based on DBM figures</t>
  </si>
  <si>
    <t>FINAL CHARTS USED IN THE PRESENTATION</t>
  </si>
  <si>
    <t>Region I, II, CAR</t>
  </si>
  <si>
    <t>ZCSEZA</t>
  </si>
  <si>
    <t>Region X, XI, XII, CARAGA</t>
  </si>
  <si>
    <t>Survey on Mindanao Logistics Infrastructure Network (SMLIN)
Road Upgrading
Widening
ByPasses
Missing Gaps
Rehabilitation of Roads</t>
  </si>
  <si>
    <t>ARMM, XII</t>
  </si>
  <si>
    <t>The Project for Community Development in Conflict-Affected Areas in Mindanao (formerly The Project for Road Improvement in Bangsamoro for Inclusive Regional Development)
- Farm-to-Market Roads</t>
  </si>
  <si>
    <t>CAR, I, II, III, IV-A, IV-B, V, VI, VII, VIII, IX, X, XI, XII, CARAGA, ARMM</t>
  </si>
  <si>
    <t>Region IX, X, XI, XII, CARAGA</t>
  </si>
  <si>
    <t>Don Marcelino-Jose Abad Santos-Glan Road, Davao Del sur, Saranggani</t>
  </si>
  <si>
    <t>NLEx  East Expressway</t>
  </si>
  <si>
    <t>Dalton Pass East Alignment,Phase II (formerly Dalton Pass East Alignment, Digdig-Carranglan-Aritao Road, Nueva Vizcaya and Nueva Ecija)</t>
  </si>
  <si>
    <t>Implementation of Agricultural Tramline Project</t>
  </si>
  <si>
    <t>Region V, IV-A, Region II, Region I, Region VI</t>
  </si>
  <si>
    <t>Nationwide Fish Ports Project 
(Package III)</t>
  </si>
  <si>
    <t>CAR, ARMM, Region IV-A, IV-B, V, VI, VII, VIII, IX, X, XI, XII, CARAGA</t>
  </si>
  <si>
    <t>CAR, ARMM, Region I, II, III, IV-A, IV-B, V, VI, VII, VIII, IX, X, XI, XII, CARAGA</t>
  </si>
  <si>
    <t>DPWH Bridge Construction Acceleration Project for Calamity Striken Areas  II, Austrian-Assisted (Mindanao)</t>
  </si>
  <si>
    <t>Post Ondoy and Pepeng Short-Term Infrastructure Rehabilitation Project
Roads and Bridge Component</t>
  </si>
  <si>
    <t>NCR, Regions IV-A, V</t>
  </si>
  <si>
    <t>Physcical Facility and Infrastructure Development</t>
  </si>
  <si>
    <t>Administrative/General Services Improvement</t>
  </si>
  <si>
    <t>Management Information System and Automation Development</t>
  </si>
  <si>
    <t>Construction of Quality Assurance Bluilding and Upgrading of Laboratory Facilities and Equipment</t>
  </si>
  <si>
    <t>Agripinoy Tobacco Farmers Milling Complex</t>
  </si>
  <si>
    <t>AGRIPINOY Tobacco Farmers Trading and Food Processing Center</t>
  </si>
  <si>
    <t>NCR, Region VII, X, XI</t>
  </si>
  <si>
    <t>National Dairy Development Program:
Milk Quality Test Laboratories</t>
  </si>
  <si>
    <t>Organic Agriculture Program</t>
  </si>
  <si>
    <t>I, VI, VII, XI</t>
  </si>
  <si>
    <t>Establishment of Modern Rice Processing Complex (RPC)</t>
  </si>
  <si>
    <t>Region 1, 2, 3, 6, 7, 8, 9, 10 and 11</t>
  </si>
  <si>
    <t>Philippine Carabao Center</t>
  </si>
  <si>
    <t>NEDA</t>
  </si>
  <si>
    <t>National Historical Commission of the Philippines</t>
  </si>
  <si>
    <t>Other Executive Offices</t>
  </si>
  <si>
    <t>Region VI , VII and XIII</t>
  </si>
  <si>
    <t>Erection of monuments and provincial or district museums such as:                                                     a.  Museo ng Katipunan, Aklan              P35,000  b.  Museo sa Siquijor (structural and                               curatorial                                                 15,000  c.  Museo sa Surigao (Structural and                                curatorial)                                                35,000  d.  Aklan Katipuneros tableau                 15,000</t>
  </si>
  <si>
    <t>Region VI,  XV</t>
  </si>
  <si>
    <t>Restoration , conservation and rehabilitation of various declared and marked historic sites and structures                                                                               a.  Dumangas Church, Iloilo           P15,000                        b.  Molo Church, Iloilo                     20,000             c.  COA Building (Elizalde Building)  20,000       d.  Kerr Building, Iloilo                     25,000          e.  Patnongon Church and Convent                                      ruins, Antique                                   15,000        f. Anini-y Church, Antique               15,000              g.  Sheik Makhdum Mosque              12,000        h.  San Esteban watchtower                3,000</t>
  </si>
  <si>
    <t>Region V, VII</t>
  </si>
  <si>
    <t>Restoration work in Bohol and Cebu</t>
  </si>
  <si>
    <t>Commission on Filipinos Overseas</t>
  </si>
  <si>
    <t>Energy Regulatory Commission</t>
  </si>
  <si>
    <t>National Archives of the Philippines</t>
  </si>
  <si>
    <t>NICA</t>
  </si>
  <si>
    <t>DOLE</t>
  </si>
  <si>
    <t>CAR, VI, VIII</t>
  </si>
  <si>
    <t>Film Development Council of the Philippines</t>
  </si>
  <si>
    <t>Local Film Industry Promotion and Development</t>
  </si>
  <si>
    <t>PDEA</t>
  </si>
  <si>
    <t>Repair of Office Building in DENR-Region 4B</t>
  </si>
  <si>
    <t>Resettlement                                                                            - For ISFs Affected by Infrastructure Projects in Metro Manila and Those Living along Danger Areas in Nearby Provinces</t>
  </si>
  <si>
    <t xml:space="preserve">CAR, Regions 3, 4B, 5, 6, 7, 8, 9, 10, 11, 12, Caraga, </t>
  </si>
  <si>
    <t xml:space="preserve">Procurement of IT Equipment </t>
  </si>
  <si>
    <t>Mindanao</t>
  </si>
  <si>
    <t>Region I, 
Region III,  
Region IV-A</t>
  </si>
  <si>
    <t xml:space="preserve">Region I, II, III, IV-B, V, VI, VII, VIII, IX, X, XI, XII, CARAGA </t>
  </si>
  <si>
    <t>NCR,
Region III, &amp; IV-A</t>
  </si>
  <si>
    <t>NCR, Region IV-B</t>
  </si>
  <si>
    <t>NCR &amp; Region VIII</t>
  </si>
  <si>
    <t>CAR, 
Region II, VI, VIII, XI</t>
  </si>
  <si>
    <t>NCR, 
Region IV-A</t>
  </si>
  <si>
    <t>Region VI, VII, VIII</t>
  </si>
  <si>
    <t>CAR, Region I, III, IV-B, V, VI, VIII, XII</t>
  </si>
  <si>
    <t>Regions III, IV-A</t>
  </si>
  <si>
    <t>Inter-Agency/ Others</t>
  </si>
  <si>
    <t>National Library of the Philippines</t>
  </si>
  <si>
    <t>Congress</t>
  </si>
  <si>
    <t>Undersea Cable Landing Station</t>
  </si>
  <si>
    <t>National Gov’t. Data Center (GDC)</t>
  </si>
  <si>
    <t xml:space="preserve">Construction  of PAGASA  Regional  Services  Systems  </t>
  </si>
  <si>
    <t>Region II, IV, V, VI, VII, VIII, XI</t>
  </si>
  <si>
    <t>Region IX, X, CARAGA</t>
  </si>
  <si>
    <t>Convergence on Value-Chain Enhancement for Rural Growth and Empowerment (Project CONVERGE)</t>
  </si>
  <si>
    <t>Region III, IV-A</t>
  </si>
  <si>
    <t>Bridge Construction Project for Expanded ARCs Phase II (Umiray Bridge)</t>
  </si>
  <si>
    <t>Region X, XI, XII</t>
  </si>
  <si>
    <t>Mindanao Sustainable Agrarian and Agriculture Development (MinSAAD) Project</t>
  </si>
  <si>
    <t>Region XII, ARMM</t>
  </si>
  <si>
    <t>Italian Agrarian Reform Community Development Support Program (IARCDSP)</t>
  </si>
  <si>
    <t>Region IV-B, V, VI, VIII, IX, ARMM</t>
  </si>
  <si>
    <t>Agrarian Reform Communities Project II (ARCP II)</t>
  </si>
  <si>
    <t>Region I, II, III, IV-A, IV-B, V, VI, VII, VIII, IX, X, XI, XII, CARAGA, ARMM, CAR</t>
  </si>
  <si>
    <t>Agrarian Reform Infrastructure Support Project III (ARISP III)</t>
  </si>
  <si>
    <t>Irrigation Support Project for Market-Driven Quality Production of Tobacco and Food Security</t>
  </si>
  <si>
    <t>Region IX, X, XI, XII, CARAGA, CAR, ARMM</t>
  </si>
  <si>
    <t>Mindanao Rural Development Program - Adoptable Program Loan 2 (MRDP-APL)</t>
  </si>
  <si>
    <t>Region III, VI, VIII</t>
  </si>
  <si>
    <t>Drainage Equipment for Water-Logged Sugarcane Areas</t>
  </si>
  <si>
    <t xml:space="preserve">Rehabilitation of Small-Scale Irrigation Projects for Upland Productivity and Resources Sustainability
</t>
  </si>
  <si>
    <t>Region VI, VIII, X</t>
  </si>
  <si>
    <t xml:space="preserve">Rapid Food Production Enhancement Programme - Irrigated Rice Production Enhancement Project (RaFPEP-IRPEP)
</t>
  </si>
  <si>
    <t>Region II, III, 
IV-A, IV-B, CAR</t>
  </si>
  <si>
    <t xml:space="preserve">National Organic Agriculture Program: Irrigation Network Services
</t>
  </si>
  <si>
    <t xml:space="preserve">High Value Crops Development Program (HVCDP): Irrigation Network Services
</t>
  </si>
  <si>
    <t>Region I, II, III, IV-A, IV-B, V, VI, VII, VIII, IX, X, XI, XII, CARAGA, CAR</t>
  </si>
  <si>
    <t>For the Implementation of Various Programs/Projects of the Local Government Units (LGUs)</t>
  </si>
  <si>
    <t>Region V, VI, VII, X, XI, XII, ARMM</t>
  </si>
  <si>
    <t xml:space="preserve">Implementation and Monitoring of Payapa at Masaganang Pamaya NAn (PAMANA): Irrigation Network Services
</t>
  </si>
  <si>
    <t>Region IV-A, 
IV-B, V, VI, VII, VIII, IX, X, XI, XII, CARAGA, CAR</t>
  </si>
  <si>
    <t>Region I, II, III, IV-A, 
IV-B, V, VI, VII, VIII, IX, X, XI, XII, CARAGA, ARMM, CAR</t>
  </si>
  <si>
    <t xml:space="preserve">Provision for Potable Water Supply  (SALINTUBIG) </t>
  </si>
  <si>
    <t>Flood Management</t>
  </si>
  <si>
    <t>LLDA</t>
  </si>
  <si>
    <t>Mindanao River Flood Control Project in Maguindanao, North Cotabato and Sultan Kudarat Provinces</t>
  </si>
  <si>
    <t>Region XII, 
ARMM</t>
  </si>
  <si>
    <t>Malitubog-Libungan Transbasin IP</t>
  </si>
  <si>
    <t>Kabulnan II Multipurpose Irrigation and Power Project</t>
  </si>
  <si>
    <t>Region  II, III</t>
  </si>
  <si>
    <t>Marikit Irrigation Project</t>
  </si>
  <si>
    <t>Malitubog-Maridagao Irrigation Project, Phase II</t>
  </si>
  <si>
    <t>Region I, III, IV-A, IV-B, VI, X, XI, XII, CARAGA</t>
  </si>
  <si>
    <t>National Irrigation Sector Rehabilitation and Improvement Project (NISRIP)</t>
  </si>
  <si>
    <t>Region I, II, III, IV-A, V, VI, VII, X, XI, XII, CARAGA, ARMM, CAR, NCR</t>
  </si>
  <si>
    <t>Formulation of Climate-Resilient River Basin Master Plans</t>
  </si>
  <si>
    <t>Region III, VI, VII, IX, X, XI, CAR NCR</t>
  </si>
  <si>
    <t>PRRC</t>
  </si>
  <si>
    <t>Region IV-A, NCR</t>
  </si>
  <si>
    <t>Region III, IV</t>
  </si>
  <si>
    <t xml:space="preserve">Development of sewerage and septage management systems in WD areas along Manila Bay
</t>
  </si>
  <si>
    <t>Region III, IVA, IVB, VI, VII, VIII, IX, X, XI, XII, XIII, CAR</t>
  </si>
  <si>
    <t>National Sewerage and Septage Management Program (NSSMP)</t>
  </si>
  <si>
    <t>Region II, 
IV-A</t>
  </si>
  <si>
    <t>Region V, VI,
VII, VIII, X and NCR</t>
  </si>
  <si>
    <t>Region I, II, III, IV-B, VI, XI, CARAGA</t>
  </si>
  <si>
    <t>Region I, II, CAR, III, IV-A,  IV-B, V</t>
  </si>
  <si>
    <r>
      <t xml:space="preserve">Computation check
</t>
    </r>
    <r>
      <rPr>
        <sz val="12"/>
        <color indexed="9"/>
        <rFont val="Times New Roman"/>
        <family val="1"/>
      </rPr>
      <t>(Should always be Blank)</t>
    </r>
  </si>
  <si>
    <r>
      <t xml:space="preserve">Check
</t>
    </r>
    <r>
      <rPr>
        <sz val="12"/>
        <color indexed="9"/>
        <rFont val="Times New Roman"/>
        <family val="1"/>
      </rPr>
      <t>(Always &gt; 0)</t>
    </r>
  </si>
  <si>
    <t>Region I, II, V,
NCR</t>
  </si>
  <si>
    <t xml:space="preserve">NCR, 
Region III
</t>
  </si>
  <si>
    <t>of all CIIP projects</t>
  </si>
  <si>
    <t>`</t>
  </si>
  <si>
    <t>NDRRMC</t>
  </si>
  <si>
    <t>OTHER EXEC. OFFICES</t>
  </si>
  <si>
    <t>NEW No Bdown</t>
  </si>
  <si>
    <t>Interregional Project Costs</t>
  </si>
  <si>
    <t>Nationwide Costs</t>
  </si>
  <si>
    <t>NEW 2017 and beyond</t>
  </si>
  <si>
    <t>2013-2016 + Nationwide</t>
  </si>
  <si>
    <t>2013-2016 interregional</t>
  </si>
  <si>
    <r>
      <t xml:space="preserve">2013 Gross Regional Domestic Product (GRDP)
</t>
    </r>
    <r>
      <rPr>
        <sz val="8"/>
        <color indexed="9"/>
        <rFont val="Calibri"/>
        <family val="2"/>
      </rPr>
      <t>(In Thousand PhP)</t>
    </r>
  </si>
  <si>
    <r>
      <t xml:space="preserve">Investment per Unit Population
</t>
    </r>
    <r>
      <rPr>
        <sz val="8"/>
        <color indexed="9"/>
        <rFont val="Calibri"/>
        <family val="2"/>
      </rPr>
      <t>(in PhP)</t>
    </r>
  </si>
  <si>
    <r>
      <t xml:space="preserve">Population 
</t>
    </r>
    <r>
      <rPr>
        <sz val="8"/>
        <color indexed="9"/>
        <rFont val="Calibri"/>
        <family val="2"/>
      </rPr>
      <t>(As of 2010 Census)</t>
    </r>
  </si>
  <si>
    <r>
      <t xml:space="preserve">Investment Cost 
</t>
    </r>
    <r>
      <rPr>
        <sz val="8"/>
        <color indexed="9"/>
        <rFont val="Calibri"/>
        <family val="2"/>
      </rPr>
      <t>(in Thousand PhP)</t>
    </r>
  </si>
  <si>
    <t>Region/ 
Coverage</t>
  </si>
  <si>
    <t>2013-2017 and Beyond</t>
  </si>
  <si>
    <t>Count of Regions Covered</t>
  </si>
  <si>
    <t>No. of Regions</t>
  </si>
  <si>
    <t xml:space="preserve">NCR
Region III
</t>
  </si>
  <si>
    <t>Region I
Region II
Region V
NCR</t>
  </si>
  <si>
    <t>Total 2013-2017 beyond</t>
  </si>
  <si>
    <t>Total 2013-2016</t>
  </si>
  <si>
    <r>
      <t>Inclusive Partnerships for Agricultural Competitiveness Project (IPAC)
[Formerly "Gearing Rural Organization for Wealth Creation Towards Household Income Improvement Project (GROWTH)"]</t>
    </r>
    <r>
      <rPr>
        <i/>
        <sz val="8"/>
        <rFont val="Times New Roman"/>
        <family val="1"/>
      </rPr>
      <t xml:space="preserve">
</t>
    </r>
  </si>
  <si>
    <r>
      <t xml:space="preserve">Dredging Equipment for the </t>
    </r>
    <r>
      <rPr>
        <b/>
        <sz val="8"/>
        <rFont val="Times New Roman"/>
        <family val="1"/>
      </rPr>
      <t>P5.0 Billion Priority Flood Management Projects</t>
    </r>
  </si>
  <si>
    <r>
      <t xml:space="preserve">Valenzuela-Obando-Meycauayan Project 
under the </t>
    </r>
    <r>
      <rPr>
        <b/>
        <sz val="8"/>
        <rFont val="Times New Roman"/>
        <family val="1"/>
      </rPr>
      <t>P5.0 Billion Priority Flood Management Projects</t>
    </r>
  </si>
  <si>
    <r>
      <t xml:space="preserve">Valenzuela-Obando-Meycauayan Area Drainage System Improvement and Related Works under the </t>
    </r>
    <r>
      <rPr>
        <b/>
        <sz val="8"/>
        <rFont val="Times New Roman"/>
        <family val="1"/>
      </rPr>
      <t>Flood Management Master Plan for Metro Manila and Surrounding Areas</t>
    </r>
  </si>
  <si>
    <r>
      <t xml:space="preserve">Establishment of Groundwater Monitoring Stations (GWMS) for the Nine (9) Groundwater Critical Areas
</t>
    </r>
    <r>
      <rPr>
        <i/>
        <sz val="8"/>
        <rFont val="Times New Roman"/>
        <family val="1"/>
      </rPr>
      <t>(Angeles City, Iloilo, Bacolod, Metro Cebu, Zamboanga City, Cagayan de Oro City, Davao City, Baguio City, Metro Manila)</t>
    </r>
  </si>
  <si>
    <r>
      <t xml:space="preserve">Sumag River Diversion Project (SRDP)
</t>
    </r>
    <r>
      <rPr>
        <i/>
        <sz val="8"/>
        <rFont val="Times New Roman"/>
        <family val="1"/>
      </rPr>
      <t>(Funded by the Common Purpose Facilty Office managed by the Concessionaires, MWCI &amp; MWSI)</t>
    </r>
  </si>
  <si>
    <r>
      <t xml:space="preserve">Rehabilitation of Umiray-Angat Transbasin Tunnel Structures/Facilities (UAT Rehab)
</t>
    </r>
    <r>
      <rPr>
        <i/>
        <sz val="8"/>
        <rFont val="Times New Roman"/>
        <family val="1"/>
      </rPr>
      <t>(Funded by the Common Purpose Facilty Office managed by the Concessionaires, MWCI &amp; MWSI)</t>
    </r>
  </si>
  <si>
    <r>
      <t xml:space="preserve">North-South Commuter Railway (NSCR)
</t>
    </r>
    <r>
      <rPr>
        <i/>
        <sz val="8"/>
        <rFont val="Times New Roman"/>
        <family val="1"/>
      </rPr>
      <t>formerly Manila-Malolos Commuter Line</t>
    </r>
  </si>
  <si>
    <t>Project Title</t>
  </si>
  <si>
    <t xml:space="preserve">Inclusive Partnerships for Agricultural Competitiveness Project (IPAC)
[Formerly "Gearing Rural Organization for Wealth Creation Towards Household Income Improvement Project (GROWTH)"]
</t>
  </si>
  <si>
    <t>Dredging Equipment for the P5.0 Billion Priority Flood Management Projects</t>
  </si>
  <si>
    <t>Valenzuela-Obando-Meycauayan Project 
under the P5.0 Billion Priority Flood Management Projects</t>
  </si>
  <si>
    <t>Valenzuela-Obando-Meycauayan Area Drainage System Improvement and Related Works under the Flood Management Master Plan for Metro Manila and Surrounding Areas</t>
  </si>
  <si>
    <t>Establishment of Groundwater Monitoring Stations (GWMS) for the Nine (9) Groundwater Critical Areas
(Angeles City, Iloilo, Bacolod, Metro Cebu, Zamboanga City, Cagayan de Oro City, Davao City, Baguio City, Metro Manila)</t>
  </si>
  <si>
    <t>Sumag River Diversion Project (SRDP)
(Funded by the Common Purpose Facilty Office managed by the Concessionaires, MWCI &amp; MWSI)</t>
  </si>
  <si>
    <t>Rehabilitation of Umiray-Angat Transbasin Tunnel Structures/Facilities (UAT Rehab)
(Funded by the Common Purpose Facilty Office managed by the Concessionaires, MWCI &amp; MWSI)</t>
  </si>
  <si>
    <t>North-South Commuter Railway (NSCR)
formerly Manila-Malolos Commuter Line</t>
  </si>
  <si>
    <t>This was sorted by getting all interegional projects and removing those with no regional breakdown</t>
  </si>
  <si>
    <t>LIST OF INTERREGIONAL PROJECTS</t>
  </si>
  <si>
    <t>old cost (3,077 proj)</t>
  </si>
  <si>
    <t>Computation of Ave. Reg. Inv. (Must use 2013-2016 data)</t>
  </si>
  <si>
    <t>Annex C: Regional Investments (with Nationwide and Interregional Projects Distributed)</t>
  </si>
  <si>
    <t>Average Infra Spending for 2013-2016</t>
  </si>
  <si>
    <t>Main Output (FINAL)</t>
  </si>
  <si>
    <t>Graph Labels</t>
  </si>
  <si>
    <t>GDP                    - High GDP Est.</t>
  </si>
  <si>
    <t>% Infra Spending to GDP Target</t>
  </si>
  <si>
    <t xml:space="preserve">Total Difference </t>
  </si>
  <si>
    <t>(NG Spending – Targets)</t>
  </si>
  <si>
    <r>
      <t xml:space="preserve">Core Investment Program/Project (CIP)
</t>
    </r>
    <r>
      <rPr>
        <sz val="12"/>
        <color indexed="9"/>
        <rFont val="Times New Roman"/>
        <family val="1"/>
      </rPr>
      <t>(Yes or No)</t>
    </r>
  </si>
  <si>
    <r>
      <t xml:space="preserve">NEDA Board Approved Project
</t>
    </r>
    <r>
      <rPr>
        <sz val="12"/>
        <color indexed="9"/>
        <rFont val="Times New Roman"/>
        <family val="1"/>
      </rPr>
      <t>(Yes or No)</t>
    </r>
  </si>
  <si>
    <t>Region IV-A, IV-B</t>
  </si>
  <si>
    <t>Acquisition of Utility Vehicle CSC RO 4</t>
  </si>
  <si>
    <t>Region IV-A, IV-B, V, VI, VII, VIII, IX, X, XI&lt; XII, Caraga</t>
  </si>
  <si>
    <t>DSWD</t>
  </si>
  <si>
    <t xml:space="preserve">Australian Grant for Improving Access to Early Learning through </t>
  </si>
  <si>
    <t>Region IV-A, V, VIII, IX, X, XI, XII, Caraga</t>
  </si>
  <si>
    <t>Kalahi-CIDDS Payapa at Masaganang Pamayanan</t>
  </si>
  <si>
    <t>CAR, Region IV-A, V, VI, VIII, IX, X, XI, XII, Caraga</t>
  </si>
  <si>
    <t>Kalahi-CIDDS Additional Financing</t>
  </si>
  <si>
    <t>CAR, Region IV-B, V, VI, VII, VIII</t>
  </si>
  <si>
    <t>Kalahi-CIDDS Millennium Challenge Corporation</t>
  </si>
  <si>
    <t>CAR, Region I, III, IV-A, IV-B, V, VI, VII, VIII, IX, X, XI, XII, Caraga</t>
  </si>
  <si>
    <t>Kalahi-CIDDS-National Community-Driven Development Program</t>
  </si>
  <si>
    <t>CSC</t>
  </si>
  <si>
    <t>LATEST - 08 May 2015 version</t>
  </si>
  <si>
    <t>3246*</t>
  </si>
  <si>
    <t>2014-2016 costs - for deflation</t>
  </si>
  <si>
    <t>Total 2014-2016</t>
  </si>
  <si>
    <t>NON-DEFLATED VAL.</t>
  </si>
  <si>
    <t>DEFLATED VALUES</t>
  </si>
  <si>
    <t>DEFLATED 2014</t>
  </si>
  <si>
    <t>CPI 2013</t>
  </si>
  <si>
    <t>CPI 2014</t>
  </si>
  <si>
    <t>Deflation Factor</t>
  </si>
  <si>
    <t>Reference: BSP data</t>
  </si>
  <si>
    <t>Consumer Price Index (Base Year 2006)</t>
  </si>
  <si>
    <t>DEFLATED 2015</t>
  </si>
  <si>
    <t>DEFLATED 2016</t>
  </si>
  <si>
    <t>OLD - 31 March 2015 version (DO NOT USE)</t>
  </si>
  <si>
    <t>2013 Interregional</t>
  </si>
  <si>
    <t>2014-2016 Interregional
(Deflated)</t>
  </si>
  <si>
    <t>Deflated</t>
  </si>
  <si>
    <r>
      <t xml:space="preserve">2013-2017 beyond Investment Cost 
</t>
    </r>
    <r>
      <rPr>
        <sz val="11"/>
        <color indexed="9"/>
        <rFont val="Calibri"/>
        <family val="2"/>
      </rPr>
      <t>(in Thousand PhP</t>
    </r>
    <r>
      <rPr>
        <b/>
        <sz val="11"/>
        <color indexed="9"/>
        <rFont val="Calibri"/>
        <family val="2"/>
      </rPr>
      <t>)</t>
    </r>
  </si>
  <si>
    <t>MAX</t>
  </si>
  <si>
    <t>MIN</t>
  </si>
  <si>
    <t>Nationwide Val.</t>
  </si>
  <si>
    <t>Interregional values   +</t>
  </si>
  <si>
    <t>Government Share (excluding private)</t>
  </si>
  <si>
    <t>NOT CURRENTLY USED (please hide)</t>
  </si>
  <si>
    <t>Share of Top10 Agencies to Tot.Infra Investments =</t>
  </si>
  <si>
    <t>For Bidding/
Procurement</t>
  </si>
  <si>
    <t>Ongoing - With legal issues</t>
  </si>
  <si>
    <r>
      <t xml:space="preserve">Status of Project Preparation/ Implementation
</t>
    </r>
    <r>
      <rPr>
        <sz val="12"/>
        <color indexed="9"/>
        <rFont val="Times New Roman"/>
        <family val="1"/>
      </rPr>
      <t>(In Narrative Form)</t>
    </r>
  </si>
  <si>
    <t>Region XIII</t>
  </si>
  <si>
    <t>Region VI and NIR</t>
  </si>
  <si>
    <t>Region VII and NIR</t>
  </si>
  <si>
    <t>Version as of 08 December 2015</t>
  </si>
  <si>
    <t>- Based on data gathered during May 2015 updating</t>
  </si>
  <si>
    <t>- Updated using available information provided to the Staff</t>
  </si>
  <si>
    <t>Government</t>
  </si>
  <si>
    <r>
      <t xml:space="preserve">2013 Gross Regional Domestic Product (GRDP)
</t>
    </r>
    <r>
      <rPr>
        <sz val="11"/>
        <color indexed="9"/>
        <rFont val="Calibri"/>
        <family val="2"/>
      </rPr>
      <t>(In Thousand PhP)</t>
    </r>
  </si>
  <si>
    <t>% Ave. Regional Investment 
(2013-2016) to GRDP (2013)</t>
  </si>
  <si>
    <r>
      <t xml:space="preserve">Distributed Investment Cost 
</t>
    </r>
    <r>
      <rPr>
        <sz val="11"/>
        <color indexed="9"/>
        <rFont val="Calibri"/>
        <family val="2"/>
      </rPr>
      <t>(in Thousand PhP)</t>
    </r>
  </si>
  <si>
    <r>
      <t xml:space="preserve">Investment Cost 
</t>
    </r>
    <r>
      <rPr>
        <sz val="11"/>
        <color indexed="51"/>
        <rFont val="Calibri"/>
        <family val="2"/>
      </rPr>
      <t>(in Thousand PhP)</t>
    </r>
  </si>
  <si>
    <t>Other Public Infrastructure</t>
  </si>
  <si>
    <r>
      <t xml:space="preserve">Description
</t>
    </r>
    <r>
      <rPr>
        <sz val="12"/>
        <color indexed="9"/>
        <rFont val="Times New Roman"/>
        <family val="1"/>
      </rPr>
      <t>(Overview, Purpose, and/or Rationale of the Undertaking)</t>
    </r>
  </si>
  <si>
    <r>
      <t xml:space="preserve">Outcomes
</t>
    </r>
    <r>
      <rPr>
        <sz val="12"/>
        <color indexed="9"/>
        <rFont val="Times New Roman"/>
        <family val="1"/>
      </rPr>
      <t>(Societal Impact)</t>
    </r>
  </si>
  <si>
    <r>
      <t xml:space="preserve">Program or Project
</t>
    </r>
    <r>
      <rPr>
        <sz val="12"/>
        <color indexed="9"/>
        <rFont val="Times New Roman"/>
        <family val="1"/>
      </rPr>
      <t>(Classification whether program or project)</t>
    </r>
  </si>
  <si>
    <r>
      <t xml:space="preserve">Year Start
</t>
    </r>
    <r>
      <rPr>
        <sz val="12"/>
        <color indexed="9"/>
        <rFont val="Times New Roman"/>
        <family val="1"/>
      </rPr>
      <t>(Computed Based on Funding Breakdown)
*Automatically Computed</t>
    </r>
  </si>
  <si>
    <r>
      <t>Year End</t>
    </r>
    <r>
      <rPr>
        <sz val="12"/>
        <color indexed="9"/>
        <rFont val="Times New Roman"/>
        <family val="1"/>
      </rPr>
      <t xml:space="preserve">
(Computed Based on Funding Breakdown)
*Automatically Computed</t>
    </r>
  </si>
  <si>
    <r>
      <t xml:space="preserve">Implementation Period 
</t>
    </r>
    <r>
      <rPr>
        <sz val="12"/>
        <color indexed="9"/>
        <rFont val="Times New Roman"/>
        <family val="1"/>
      </rPr>
      <t>(Computed Based on Funding Breakdown)
*Automatically Computed</t>
    </r>
  </si>
  <si>
    <r>
      <t xml:space="preserve">Financing/ Funding Source
</t>
    </r>
    <r>
      <rPr>
        <sz val="12"/>
        <color indexed="9"/>
        <rFont val="Times New Roman"/>
        <family val="1"/>
      </rPr>
      <t>(Proposed Source)</t>
    </r>
  </si>
  <si>
    <t>PDP-Results Matrices (RM) Critical Indicators Addressed</t>
  </si>
  <si>
    <t>PROJECT/PROGRAM GENERAL INFORMATION</t>
  </si>
  <si>
    <t>FINANCIAL INFORMATION</t>
  </si>
  <si>
    <t>OTHER INFORMATION</t>
  </si>
  <si>
    <r>
      <t xml:space="preserve">Multi-year / 
Single Expenditure / 
No Costs Provided
</t>
    </r>
    <r>
      <rPr>
        <sz val="12"/>
        <color indexed="9"/>
        <rFont val="Times New Roman"/>
        <family val="1"/>
      </rPr>
      <t>*Automatically Computed</t>
    </r>
  </si>
  <si>
    <r>
      <t xml:space="preserve">Purely Private-Funded Projects
</t>
    </r>
    <r>
      <rPr>
        <sz val="12"/>
        <color indexed="9"/>
        <rFont val="Times New Roman"/>
        <family val="1"/>
      </rPr>
      <t>(Yes or No)
*Automatically Computed</t>
    </r>
  </si>
  <si>
    <t>2017
Proposed</t>
  </si>
  <si>
    <t>2018
Proposed</t>
  </si>
  <si>
    <t>2019
Proposed</t>
  </si>
  <si>
    <t>2020
Proposed</t>
  </si>
  <si>
    <t>2015
Actual / GAA</t>
  </si>
  <si>
    <t>2016
GAA</t>
  </si>
  <si>
    <t>2021 and Beyond
Proposed</t>
  </si>
  <si>
    <t>2016-2020  Investments</t>
  </si>
  <si>
    <r>
      <t xml:space="preserve">Implementation Period
</t>
    </r>
    <r>
      <rPr>
        <sz val="12"/>
        <color theme="0"/>
        <rFont val="Times New Roman"/>
        <family val="1"/>
      </rPr>
      <t>(Actual/Estimated</t>
    </r>
    <r>
      <rPr>
        <sz val="12"/>
        <color indexed="9"/>
        <rFont val="Times New Roman"/>
        <family val="1"/>
      </rPr>
      <t xml:space="preserve"> Period)</t>
    </r>
  </si>
  <si>
    <r>
      <t xml:space="preserve">2014-2021 
Total Investments
</t>
    </r>
    <r>
      <rPr>
        <sz val="12"/>
        <color theme="0"/>
        <rFont val="Times New Roman"/>
        <family val="1"/>
      </rPr>
      <t>*Automatically Computed</t>
    </r>
  </si>
  <si>
    <r>
      <t xml:space="preserve">Infrastructure Sector
</t>
    </r>
    <r>
      <rPr>
        <sz val="12"/>
        <color theme="0"/>
        <rFont val="Times New Roman"/>
        <family val="1"/>
      </rPr>
      <t>(Select from the dropdown list box)</t>
    </r>
  </si>
  <si>
    <r>
      <t xml:space="preserve">Outputs 
</t>
    </r>
    <r>
      <rPr>
        <sz val="12"/>
        <color indexed="9"/>
        <rFont val="Times New Roman"/>
        <family val="1"/>
      </rPr>
      <t>(Actual Deliverables, ie. 100km of paved roads)</t>
    </r>
  </si>
  <si>
    <r>
      <t xml:space="preserve">Infrastructure Type
</t>
    </r>
    <r>
      <rPr>
        <sz val="12"/>
        <color theme="0"/>
        <rFont val="Times New Roman"/>
        <family val="1"/>
      </rPr>
      <t>(Select from the dropdown list box)</t>
    </r>
  </si>
  <si>
    <r>
      <t xml:space="preserve">Reason for Delays/ Problems/ Issues both During Project Preparation and Implementation
</t>
    </r>
    <r>
      <rPr>
        <sz val="12"/>
        <color theme="0"/>
        <rFont val="Times New Roman"/>
        <family val="1"/>
      </rPr>
      <t>(If any)</t>
    </r>
  </si>
  <si>
    <r>
      <t xml:space="preserve">PDP Infrastructure Intermediate Outcome
</t>
    </r>
    <r>
      <rPr>
        <sz val="12"/>
        <color theme="0"/>
        <rFont val="Times New Roman"/>
        <family val="1"/>
      </rPr>
      <t>(Select from the dropdown list box)</t>
    </r>
  </si>
  <si>
    <r>
      <t xml:space="preserve">Expected Date of Presentation to the ICC
</t>
    </r>
    <r>
      <rPr>
        <sz val="12"/>
        <color theme="0"/>
        <rFont val="Times New Roman"/>
        <family val="1"/>
      </rPr>
      <t>(If ICC approval is required)</t>
    </r>
  </si>
  <si>
    <t>NEDA REQUIRED INFORMATION</t>
  </si>
  <si>
    <r>
      <t xml:space="preserve">PDP Strategy
</t>
    </r>
    <r>
      <rPr>
        <sz val="12"/>
        <color theme="0"/>
        <rFont val="Times New Roman"/>
        <family val="1"/>
      </rPr>
      <t>(The strategy shall depend on the intermediate outcome)
*Fill out column CI first</t>
    </r>
  </si>
  <si>
    <r>
      <t xml:space="preserve">Total Project Cost 
</t>
    </r>
    <r>
      <rPr>
        <sz val="12"/>
        <color indexed="9"/>
        <rFont val="Times New Roman"/>
        <family val="1"/>
      </rPr>
      <t>(in PhP Thousands)
*Type manually</t>
    </r>
  </si>
  <si>
    <r>
      <t>2014 Actual</t>
    </r>
    <r>
      <rPr>
        <sz val="12"/>
        <color theme="0"/>
        <rFont val="Times New Roman"/>
        <family val="1"/>
      </rPr>
      <t xml:space="preserve">
(Type in the breakdown of Costs per financing source. To be filled up for each year.)</t>
    </r>
  </si>
  <si>
    <r>
      <t xml:space="preserve">Infrastructure Subsector
</t>
    </r>
    <r>
      <rPr>
        <sz val="12"/>
        <color theme="0"/>
        <rFont val="Times New Roman"/>
        <family val="1"/>
      </rPr>
      <t>(The subsectors shall depend on the sector)
*Fill out column BB first</t>
    </r>
  </si>
  <si>
    <r>
      <t xml:space="preserve">Spatial Coverage
</t>
    </r>
    <r>
      <rPr>
        <sz val="12"/>
        <color indexed="9"/>
        <rFont val="Times New Roman"/>
        <family val="1"/>
      </rPr>
      <t>(Nationwide/ Interregional/ Region-Specific)
*Nationwide - entire PH
*Interregional - 2 or more regions
*Region-specific - 1 region</t>
    </r>
  </si>
  <si>
    <r>
      <t xml:space="preserve">Basis for Implementation
</t>
    </r>
    <r>
      <rPr>
        <sz val="12"/>
        <color indexed="9"/>
        <rFont val="Times New Roman"/>
        <family val="1"/>
      </rPr>
      <t>(i.e., Name of Program,  Plan, Roadmap, etc.)</t>
    </r>
  </si>
  <si>
    <r>
      <t xml:space="preserve">Spatial Coverage
</t>
    </r>
    <r>
      <rPr>
        <sz val="12"/>
        <color indexed="9"/>
        <rFont val="Times New Roman"/>
        <family val="1"/>
      </rPr>
      <t>(Region)
*List all specific regions covered</t>
    </r>
  </si>
</sst>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_);_(* \(#,##0.00\);_(* &quot;-&quot;??_);_(@_)"/>
    <numFmt numFmtId="164" formatCode="_(* #,##0_);_(* \(#,##0\);_(* &quot;-&quot;??_);_(@_)"/>
    <numFmt numFmtId="165" formatCode="0.0%"/>
    <numFmt numFmtId="166" formatCode="0.000000000000000%"/>
  </numFmts>
  <fonts count="70">
    <font>
      <sz val="11"/>
      <color theme="1"/>
      <name val="Calibri"/>
      <family val="2"/>
      <scheme val="minor"/>
    </font>
    <font>
      <sz val="12"/>
      <name val="Times New Roman"/>
      <family val="1"/>
    </font>
    <font>
      <sz val="12"/>
      <color indexed="9"/>
      <name val="Times New Roman"/>
      <family val="1"/>
    </font>
    <font>
      <b/>
      <sz val="12"/>
      <name val="Times New Roman"/>
      <family val="1"/>
    </font>
    <font>
      <sz val="10"/>
      <name val="Arial"/>
      <family val="2"/>
    </font>
    <font>
      <sz val="11"/>
      <color indexed="8"/>
      <name val="Calibri"/>
      <family val="2"/>
    </font>
    <font>
      <sz val="11"/>
      <name val="Times New Roman"/>
      <family val="1"/>
    </font>
    <font>
      <b/>
      <sz val="11"/>
      <name val="Times New Roman"/>
      <family val="1"/>
    </font>
    <font>
      <b/>
      <i/>
      <sz val="12"/>
      <color indexed="9"/>
      <name val="Times New Roman"/>
      <family val="1"/>
    </font>
    <font>
      <b/>
      <sz val="11"/>
      <color indexed="9"/>
      <name val="Calibri"/>
      <family val="2"/>
    </font>
    <font>
      <sz val="11"/>
      <color indexed="9"/>
      <name val="Calibri"/>
      <family val="2"/>
    </font>
    <font>
      <i/>
      <sz val="11"/>
      <color indexed="8"/>
      <name val="Calibri"/>
      <family val="2"/>
    </font>
    <font>
      <sz val="10"/>
      <color indexed="9"/>
      <name val="Calibri"/>
      <family val="2"/>
    </font>
    <font>
      <i/>
      <sz val="10"/>
      <color indexed="10"/>
      <name val="Calibri"/>
      <family val="2"/>
    </font>
    <font>
      <sz val="8"/>
      <color indexed="9"/>
      <name val="Calibri"/>
      <family val="2"/>
    </font>
    <font>
      <sz val="9"/>
      <name val="Times New Roman"/>
      <family val="1"/>
    </font>
    <font>
      <sz val="8"/>
      <name val="Times New Roman"/>
      <family val="1"/>
    </font>
    <font>
      <b/>
      <sz val="8"/>
      <name val="Times New Roman"/>
      <family val="1"/>
    </font>
    <font>
      <i/>
      <sz val="8"/>
      <name val="Times New Roman"/>
      <family val="1"/>
    </font>
    <font>
      <b/>
      <sz val="9"/>
      <name val="Times New Roman"/>
      <family val="1"/>
    </font>
    <font>
      <sz val="11"/>
      <color indexed="51"/>
      <name val="Calibri"/>
      <family val="2"/>
    </font>
    <font>
      <sz val="11"/>
      <color theme="1"/>
      <name val="Calibri"/>
      <family val="2"/>
      <scheme val="minor"/>
    </font>
    <font>
      <b/>
      <sz val="11"/>
      <color theme="1"/>
      <name val="Calibri"/>
      <family val="2"/>
      <scheme val="minor"/>
    </font>
    <font>
      <b/>
      <sz val="12"/>
      <color theme="0"/>
      <name val="Times New Roman"/>
      <family val="1"/>
    </font>
    <font>
      <sz val="11"/>
      <color theme="1"/>
      <name val="Times New Roman"/>
      <family val="1"/>
    </font>
    <font>
      <sz val="36"/>
      <color theme="1"/>
      <name val="Times New Roman"/>
      <family val="1"/>
    </font>
    <font>
      <b/>
      <sz val="11"/>
      <color theme="1"/>
      <name val="Times New Roman"/>
      <family val="1"/>
    </font>
    <font>
      <sz val="12"/>
      <color theme="1"/>
      <name val="Times New Roman"/>
      <family val="1"/>
    </font>
    <font>
      <b/>
      <sz val="12"/>
      <color theme="1"/>
      <name val="Times New Roman"/>
      <family val="1"/>
    </font>
    <font>
      <b/>
      <sz val="11"/>
      <color theme="0"/>
      <name val="Times New Roman"/>
      <family val="1"/>
    </font>
    <font>
      <b/>
      <sz val="11"/>
      <color theme="0"/>
      <name val="Calibri"/>
      <family val="2"/>
      <scheme val="minor"/>
    </font>
    <font>
      <b/>
      <sz val="14"/>
      <color theme="1"/>
      <name val="Calibri"/>
      <family val="2"/>
      <scheme val="minor"/>
    </font>
    <font>
      <i/>
      <sz val="9"/>
      <color theme="1"/>
      <name val="Calibri"/>
      <family val="2"/>
      <scheme val="minor"/>
    </font>
    <font>
      <sz val="16"/>
      <color theme="1"/>
      <name val="Aharoni"/>
      <charset val="177"/>
    </font>
    <font>
      <b/>
      <i/>
      <sz val="14"/>
      <color theme="1"/>
      <name val="Calibri"/>
      <family val="2"/>
      <scheme val="minor"/>
    </font>
    <font>
      <i/>
      <sz val="11"/>
      <color theme="1"/>
      <name val="Calibri"/>
      <family val="2"/>
      <scheme val="minor"/>
    </font>
    <font>
      <b/>
      <sz val="10"/>
      <color rgb="FF000000"/>
      <name val="Calibri"/>
      <family val="2"/>
    </font>
    <font>
      <b/>
      <sz val="11"/>
      <color rgb="FF000000"/>
      <name val="Calibri"/>
      <family val="2"/>
    </font>
    <font>
      <b/>
      <sz val="10"/>
      <color rgb="FFFFFFFF"/>
      <name val="Calibri"/>
      <family val="2"/>
    </font>
    <font>
      <sz val="10"/>
      <color rgb="FF000000"/>
      <name val="Calibri"/>
      <family val="2"/>
    </font>
    <font>
      <b/>
      <sz val="16"/>
      <color theme="1"/>
      <name val="Calibri"/>
      <family val="2"/>
      <scheme val="minor"/>
    </font>
    <font>
      <b/>
      <i/>
      <sz val="11"/>
      <color theme="1"/>
      <name val="Calibri"/>
      <family val="2"/>
      <scheme val="minor"/>
    </font>
    <font>
      <b/>
      <sz val="12"/>
      <color theme="1"/>
      <name val="Calibri"/>
      <family val="2"/>
      <scheme val="minor"/>
    </font>
    <font>
      <b/>
      <sz val="14"/>
      <color theme="1"/>
      <name val="Times New Roman"/>
      <family val="1"/>
    </font>
    <font>
      <b/>
      <sz val="10"/>
      <color theme="1"/>
      <name val="Calibri"/>
      <family val="2"/>
      <scheme val="minor"/>
    </font>
    <font>
      <sz val="10"/>
      <color theme="1"/>
      <name val="Calibri"/>
      <family val="2"/>
      <scheme val="minor"/>
    </font>
    <font>
      <b/>
      <sz val="9"/>
      <color theme="1"/>
      <name val="Calibri"/>
      <family val="2"/>
      <scheme val="minor"/>
    </font>
    <font>
      <sz val="9"/>
      <color theme="1"/>
      <name val="Calibri"/>
      <family val="2"/>
      <scheme val="minor"/>
    </font>
    <font>
      <i/>
      <sz val="14"/>
      <color theme="1"/>
      <name val="Calibri"/>
      <family val="2"/>
      <scheme val="minor"/>
    </font>
    <font>
      <b/>
      <sz val="24"/>
      <color theme="1"/>
      <name val="Calibri"/>
      <family val="2"/>
      <scheme val="minor"/>
    </font>
    <font>
      <b/>
      <u/>
      <sz val="48"/>
      <color theme="1"/>
      <name val="Calibri"/>
      <family val="2"/>
      <scheme val="minor"/>
    </font>
    <font>
      <b/>
      <sz val="24"/>
      <color theme="1"/>
      <name val="Times New Roman"/>
      <family val="1"/>
    </font>
    <font>
      <sz val="14"/>
      <color theme="1"/>
      <name val="Times New Roman"/>
      <family val="1"/>
    </font>
    <font>
      <b/>
      <sz val="10"/>
      <color rgb="FFFF0000"/>
      <name val="Calibri"/>
      <family val="2"/>
    </font>
    <font>
      <sz val="8"/>
      <color theme="1"/>
      <name val="Calibri"/>
      <family val="2"/>
      <scheme val="minor"/>
    </font>
    <font>
      <b/>
      <sz val="8"/>
      <color theme="1"/>
      <name val="Calibri"/>
      <family val="2"/>
      <scheme val="minor"/>
    </font>
    <font>
      <b/>
      <sz val="8"/>
      <color theme="0"/>
      <name val="Calibri"/>
      <family val="2"/>
      <scheme val="minor"/>
    </font>
    <font>
      <sz val="10"/>
      <color rgb="FFFF0000"/>
      <name val="Calibri"/>
      <family val="2"/>
    </font>
    <font>
      <i/>
      <sz val="10"/>
      <color rgb="FF000000"/>
      <name val="Calibri"/>
      <family val="2"/>
    </font>
    <font>
      <sz val="11"/>
      <name val="Calibri"/>
      <family val="2"/>
      <scheme val="minor"/>
    </font>
    <font>
      <b/>
      <sz val="11"/>
      <color rgb="FF000000"/>
      <name val="Times New Roman"/>
      <family val="1"/>
    </font>
    <font>
      <b/>
      <sz val="11"/>
      <color rgb="FFFFFFFF"/>
      <name val="Calibri"/>
      <family val="2"/>
    </font>
    <font>
      <sz val="11"/>
      <color rgb="FF000000"/>
      <name val="Calibri"/>
      <family val="2"/>
    </font>
    <font>
      <i/>
      <sz val="11"/>
      <color rgb="FF000000"/>
      <name val="Calibri"/>
      <family val="2"/>
    </font>
    <font>
      <b/>
      <sz val="16"/>
      <color theme="0"/>
      <name val="Calibri"/>
      <family val="2"/>
      <scheme val="minor"/>
    </font>
    <font>
      <b/>
      <sz val="11"/>
      <color rgb="FFFFC000"/>
      <name val="Calibri"/>
      <family val="2"/>
      <scheme val="minor"/>
    </font>
    <font>
      <sz val="18"/>
      <color theme="1"/>
      <name val="Times New Roman"/>
      <family val="1"/>
    </font>
    <font>
      <b/>
      <sz val="18"/>
      <color theme="0"/>
      <name val="Times New Roman"/>
      <family val="1"/>
    </font>
    <font>
      <b/>
      <sz val="12"/>
      <color rgb="FFFF0000"/>
      <name val="Times New Roman"/>
      <family val="1"/>
    </font>
    <font>
      <sz val="12"/>
      <color theme="0"/>
      <name val="Times New Roman"/>
      <family val="1"/>
    </font>
  </fonts>
  <fills count="32">
    <fill>
      <patternFill patternType="none"/>
    </fill>
    <fill>
      <patternFill patternType="gray125"/>
    </fill>
    <fill>
      <patternFill patternType="solid">
        <fgColor theme="5" tint="-0.249977111117893"/>
        <bgColor indexed="64"/>
      </patternFill>
    </fill>
    <fill>
      <patternFill patternType="solid">
        <fgColor theme="0"/>
        <bgColor indexed="64"/>
      </patternFill>
    </fill>
    <fill>
      <patternFill patternType="solid">
        <fgColor theme="2" tint="-0.499984740745262"/>
        <bgColor indexed="64"/>
      </patternFill>
    </fill>
    <fill>
      <patternFill patternType="solid">
        <fgColor theme="2" tint="-0.749992370372631"/>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7" tint="0.79998168889431442"/>
        <bgColor indexed="64"/>
      </patternFill>
    </fill>
    <fill>
      <patternFill patternType="solid">
        <fgColor theme="5" tint="0.79998168889431442"/>
        <bgColor indexed="64"/>
      </patternFill>
    </fill>
    <fill>
      <patternFill patternType="solid">
        <fgColor theme="0" tint="-0.34998626667073579"/>
        <bgColor indexed="64"/>
      </patternFill>
    </fill>
    <fill>
      <patternFill patternType="solid">
        <fgColor rgb="FF3A3838"/>
        <bgColor indexed="64"/>
      </patternFill>
    </fill>
    <fill>
      <patternFill patternType="solid">
        <fgColor rgb="FFFFFFFF"/>
        <bgColor indexed="64"/>
      </patternFill>
    </fill>
    <fill>
      <patternFill patternType="solid">
        <fgColor rgb="FFF2F2F2"/>
        <bgColor indexed="64"/>
      </patternFill>
    </fill>
    <fill>
      <patternFill patternType="solid">
        <fgColor theme="2"/>
        <bgColor indexed="64"/>
      </patternFill>
    </fill>
    <fill>
      <patternFill patternType="solid">
        <fgColor rgb="FFFFFF00"/>
        <bgColor indexed="64"/>
      </patternFill>
    </fill>
    <fill>
      <patternFill patternType="solid">
        <fgColor theme="0" tint="-0.14999847407452621"/>
        <bgColor indexed="64"/>
      </patternFill>
    </fill>
    <fill>
      <patternFill patternType="solid">
        <fgColor theme="1"/>
        <bgColor indexed="64"/>
      </patternFill>
    </fill>
    <fill>
      <patternFill patternType="solid">
        <fgColor theme="7" tint="0.39997558519241921"/>
        <bgColor indexed="64"/>
      </patternFill>
    </fill>
    <fill>
      <patternFill patternType="solid">
        <fgColor rgb="FFFFC000"/>
        <bgColor indexed="64"/>
      </patternFill>
    </fill>
    <fill>
      <patternFill patternType="solid">
        <fgColor theme="2" tint="-9.9978637043366805E-2"/>
        <bgColor indexed="64"/>
      </patternFill>
    </fill>
    <fill>
      <patternFill patternType="solid">
        <fgColor theme="7" tint="0.59999389629810485"/>
        <bgColor indexed="64"/>
      </patternFill>
    </fill>
    <fill>
      <patternFill patternType="solid">
        <fgColor theme="2" tint="-0.249977111117893"/>
        <bgColor indexed="64"/>
      </patternFill>
    </fill>
    <fill>
      <patternFill patternType="solid">
        <fgColor theme="6" tint="-0.249977111117893"/>
        <bgColor indexed="64"/>
      </patternFill>
    </fill>
    <fill>
      <patternFill patternType="solid">
        <fgColor rgb="FF92D050"/>
        <bgColor indexed="64"/>
      </patternFill>
    </fill>
    <fill>
      <patternFill patternType="solid">
        <fgColor theme="8" tint="0.79998168889431442"/>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1" tint="0.14999847407452621"/>
        <bgColor indexed="64"/>
      </patternFill>
    </fill>
    <fill>
      <patternFill patternType="solid">
        <fgColor theme="1" tint="0.249977111117893"/>
        <bgColor indexed="64"/>
      </patternFill>
    </fill>
    <fill>
      <patternFill patternType="solid">
        <fgColor rgb="FF002060"/>
        <bgColor indexed="64"/>
      </patternFill>
    </fill>
    <fill>
      <patternFill patternType="solid">
        <fgColor theme="9" tint="-0.249977111117893"/>
        <bgColor indexed="64"/>
      </patternFill>
    </fill>
  </fills>
  <borders count="84">
    <border>
      <left/>
      <right/>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medium">
        <color indexed="64"/>
      </top>
      <bottom/>
      <diagonal/>
    </border>
    <border>
      <left style="thin">
        <color indexed="64"/>
      </left>
      <right/>
      <top style="thin">
        <color indexed="64"/>
      </top>
      <bottom style="thin">
        <color indexed="64"/>
      </bottom>
      <diagonal/>
    </border>
    <border>
      <left style="thin">
        <color indexed="64"/>
      </left>
      <right/>
      <top style="medium">
        <color indexed="64"/>
      </top>
      <bottom/>
      <diagonal/>
    </border>
    <border>
      <left style="thin">
        <color indexed="64"/>
      </left>
      <right/>
      <top style="medium">
        <color indexed="64"/>
      </top>
      <bottom style="thin">
        <color indexed="64"/>
      </bottom>
      <diagonal/>
    </border>
    <border>
      <left style="thin">
        <color indexed="64"/>
      </left>
      <right/>
      <top style="medium">
        <color indexed="64"/>
      </top>
      <bottom style="medium">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top style="thin">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right style="medium">
        <color indexed="64"/>
      </right>
      <top style="medium">
        <color indexed="64"/>
      </top>
      <bottom style="thin">
        <color indexed="64"/>
      </bottom>
      <diagonal/>
    </border>
    <border>
      <left style="thin">
        <color indexed="64"/>
      </left>
      <right/>
      <top/>
      <bottom style="thin">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style="thin">
        <color indexed="64"/>
      </left>
      <right style="medium">
        <color indexed="64"/>
      </right>
      <top style="thin">
        <color indexed="64"/>
      </top>
      <bottom/>
      <diagonal/>
    </border>
    <border>
      <left/>
      <right style="thin">
        <color indexed="64"/>
      </right>
      <top/>
      <bottom style="thin">
        <color indexed="64"/>
      </bottom>
      <diagonal/>
    </border>
    <border>
      <left/>
      <right/>
      <top/>
      <bottom style="thin">
        <color indexed="64"/>
      </bottom>
      <diagonal/>
    </border>
    <border>
      <left/>
      <right style="thin">
        <color indexed="64"/>
      </right>
      <top/>
      <bottom/>
      <diagonal/>
    </border>
    <border>
      <left style="thin">
        <color indexed="64"/>
      </left>
      <right/>
      <top/>
      <bottom/>
      <diagonal/>
    </border>
    <border>
      <left/>
      <right style="thin">
        <color indexed="64"/>
      </right>
      <top/>
      <bottom style="double">
        <color indexed="64"/>
      </bottom>
      <diagonal/>
    </border>
    <border>
      <left style="thin">
        <color indexed="64"/>
      </left>
      <right/>
      <top/>
      <bottom style="double">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style="thin">
        <color indexed="64"/>
      </left>
      <right style="medium">
        <color indexed="64"/>
      </right>
      <top style="double">
        <color indexed="64"/>
      </top>
      <bottom style="medium">
        <color indexed="64"/>
      </bottom>
      <diagonal/>
    </border>
    <border>
      <left style="thin">
        <color indexed="64"/>
      </left>
      <right/>
      <top style="double">
        <color indexed="64"/>
      </top>
      <bottom style="medium">
        <color indexed="64"/>
      </bottom>
      <diagonal/>
    </border>
    <border>
      <left style="thin">
        <color indexed="64"/>
      </left>
      <right style="thin">
        <color indexed="64"/>
      </right>
      <top style="double">
        <color indexed="64"/>
      </top>
      <bottom style="medium">
        <color indexed="64"/>
      </bottom>
      <diagonal/>
    </border>
    <border>
      <left style="medium">
        <color indexed="64"/>
      </left>
      <right style="thin">
        <color indexed="64"/>
      </right>
      <top style="double">
        <color indexed="64"/>
      </top>
      <bottom style="medium">
        <color indexed="64"/>
      </bottom>
      <diagonal/>
    </border>
    <border>
      <left style="thin">
        <color indexed="64"/>
      </left>
      <right style="medium">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right/>
      <top style="thin">
        <color indexed="64"/>
      </top>
      <bottom/>
      <diagonal/>
    </border>
    <border>
      <left style="medium">
        <color indexed="64"/>
      </left>
      <right/>
      <top style="double">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bottom/>
      <diagonal/>
    </border>
    <border>
      <left style="thin">
        <color indexed="64"/>
      </left>
      <right style="thin">
        <color indexed="64"/>
      </right>
      <top/>
      <bottom style="double">
        <color indexed="64"/>
      </bottom>
      <diagonal/>
    </border>
    <border>
      <left style="thin">
        <color indexed="64"/>
      </left>
      <right style="thin">
        <color indexed="64"/>
      </right>
      <top style="double">
        <color indexed="64"/>
      </top>
      <bottom style="thin">
        <color indexed="64"/>
      </bottom>
      <diagonal/>
    </border>
    <border>
      <left/>
      <right style="thin">
        <color indexed="64"/>
      </right>
      <top style="thin">
        <color indexed="64"/>
      </top>
      <bottom/>
      <diagonal/>
    </border>
    <border>
      <left/>
      <right style="thin">
        <color indexed="64"/>
      </right>
      <top style="medium">
        <color indexed="64"/>
      </top>
      <bottom/>
      <diagonal/>
    </border>
    <border>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bottom style="thin">
        <color theme="4" tint="0.39997558519241921"/>
      </bottom>
      <diagonal/>
    </border>
  </borders>
  <cellStyleXfs count="14">
    <xf numFmtId="0" fontId="0" fillId="0" borderId="0"/>
    <xf numFmtId="0" fontId="22" fillId="0" borderId="0" applyNumberFormat="0" applyFill="0" applyBorder="0" applyAlignment="0" applyProtection="0"/>
    <xf numFmtId="0" fontId="22" fillId="0" borderId="0" applyNumberFormat="0" applyFill="0" applyBorder="0" applyAlignment="0" applyProtection="0"/>
    <xf numFmtId="43" fontId="21" fillId="0" borderId="0" applyFont="0" applyFill="0" applyBorder="0" applyAlignment="0" applyProtection="0"/>
    <xf numFmtId="43" fontId="4" fillId="0" borderId="0" applyFont="0" applyFill="0" applyBorder="0" applyAlignment="0" applyProtection="0"/>
    <xf numFmtId="43" fontId="5" fillId="0" borderId="0" applyFont="0" applyFill="0" applyBorder="0" applyAlignment="0" applyProtection="0"/>
    <xf numFmtId="43" fontId="4" fillId="0" borderId="0" applyFont="0" applyFill="0" applyBorder="0" applyAlignment="0" applyProtection="0"/>
    <xf numFmtId="43" fontId="21"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0" fontId="4" fillId="0" borderId="0"/>
    <xf numFmtId="0" fontId="4" fillId="0" borderId="0"/>
    <xf numFmtId="0" fontId="5" fillId="0" borderId="0"/>
    <xf numFmtId="9" fontId="21" fillId="0" borderId="0" applyFont="0" applyFill="0" applyBorder="0" applyAlignment="0" applyProtection="0"/>
  </cellStyleXfs>
  <cellXfs count="880">
    <xf numFmtId="0" fontId="0" fillId="0" borderId="0" xfId="0"/>
    <xf numFmtId="0" fontId="23" fillId="31" borderId="1" xfId="0" applyNumberFormat="1" applyFont="1" applyFill="1" applyBorder="1" applyAlignment="1">
      <alignment horizontal="center" vertical="center" wrapText="1"/>
    </xf>
    <xf numFmtId="0" fontId="23" fillId="31" borderId="2" xfId="0" applyNumberFormat="1" applyFont="1" applyFill="1" applyBorder="1" applyAlignment="1">
      <alignment horizontal="center" vertical="center" wrapText="1"/>
    </xf>
    <xf numFmtId="0" fontId="24" fillId="3" borderId="0" xfId="0" applyFont="1" applyFill="1" applyBorder="1"/>
    <xf numFmtId="0" fontId="24" fillId="0" borderId="0" xfId="0" applyNumberFormat="1" applyFont="1" applyAlignment="1">
      <alignment vertical="top"/>
    </xf>
    <xf numFmtId="0" fontId="24" fillId="0" borderId="0" xfId="0" applyFont="1"/>
    <xf numFmtId="0" fontId="24" fillId="0" borderId="0" xfId="0" applyFont="1" applyAlignment="1">
      <alignment horizontal="left" vertical="top"/>
    </xf>
    <xf numFmtId="0" fontId="25" fillId="0" borderId="0" xfId="0" applyNumberFormat="1" applyFont="1" applyAlignment="1">
      <alignment horizontal="left" indent="2"/>
    </xf>
    <xf numFmtId="0" fontId="24" fillId="0" borderId="0" xfId="0" applyFont="1" applyAlignment="1">
      <alignment horizontal="center" vertical="top"/>
    </xf>
    <xf numFmtId="0" fontId="24" fillId="0" borderId="0" xfId="0" applyFont="1" applyAlignment="1">
      <alignment horizontal="center" vertical="top" wrapText="1"/>
    </xf>
    <xf numFmtId="0" fontId="24" fillId="0" borderId="0" xfId="0" applyFont="1" applyAlignment="1">
      <alignment horizontal="center"/>
    </xf>
    <xf numFmtId="0" fontId="26" fillId="0" borderId="0" xfId="0" applyFont="1"/>
    <xf numFmtId="0" fontId="26" fillId="0" borderId="0" xfId="2" applyFont="1"/>
    <xf numFmtId="0" fontId="27" fillId="3" borderId="0" xfId="0" applyFont="1" applyFill="1" applyBorder="1"/>
    <xf numFmtId="0" fontId="27" fillId="0" borderId="0" xfId="0" applyFont="1" applyAlignment="1">
      <alignment horizontal="left" vertical="top"/>
    </xf>
    <xf numFmtId="0" fontId="27" fillId="0" borderId="0" xfId="0" applyFont="1"/>
    <xf numFmtId="0" fontId="27" fillId="0" borderId="0" xfId="0" applyNumberFormat="1" applyFont="1" applyAlignment="1">
      <alignment horizontal="left" indent="2"/>
    </xf>
    <xf numFmtId="0" fontId="27" fillId="0" borderId="0" xfId="0" applyFont="1" applyAlignment="1">
      <alignment horizontal="center" vertical="top"/>
    </xf>
    <xf numFmtId="0" fontId="27" fillId="0" borderId="0" xfId="0" applyFont="1" applyAlignment="1">
      <alignment horizontal="center" vertical="top" wrapText="1"/>
    </xf>
    <xf numFmtId="0" fontId="27" fillId="0" borderId="0" xfId="0" applyFont="1" applyAlignment="1">
      <alignment horizontal="center"/>
    </xf>
    <xf numFmtId="0" fontId="28" fillId="0" borderId="0" xfId="0" applyFont="1"/>
    <xf numFmtId="0" fontId="28" fillId="0" borderId="0" xfId="2" applyFont="1"/>
    <xf numFmtId="0" fontId="27" fillId="3" borderId="0" xfId="0" applyFont="1" applyFill="1"/>
    <xf numFmtId="0" fontId="27" fillId="3" borderId="0" xfId="0" applyNumberFormat="1" applyFont="1" applyFill="1" applyAlignment="1">
      <alignment horizontal="left" indent="2"/>
    </xf>
    <xf numFmtId="0" fontId="1" fillId="3" borderId="0" xfId="0" applyNumberFormat="1" applyFont="1" applyFill="1" applyBorder="1" applyAlignment="1">
      <alignment vertical="center"/>
    </xf>
    <xf numFmtId="0" fontId="1" fillId="3" borderId="0" xfId="0" applyFont="1" applyFill="1" applyBorder="1" applyAlignment="1">
      <alignment vertical="center"/>
    </xf>
    <xf numFmtId="0" fontId="1" fillId="3" borderId="0" xfId="0" applyFont="1" applyFill="1" applyBorder="1" applyAlignment="1">
      <alignment horizontal="center" vertical="top"/>
    </xf>
    <xf numFmtId="0" fontId="1" fillId="3" borderId="0" xfId="0" applyFont="1" applyFill="1" applyBorder="1" applyAlignment="1">
      <alignment vertical="top"/>
    </xf>
    <xf numFmtId="0" fontId="1" fillId="3" borderId="0" xfId="0" applyFont="1" applyFill="1" applyBorder="1" applyAlignment="1">
      <alignment vertical="top" wrapText="1"/>
    </xf>
    <xf numFmtId="0" fontId="24" fillId="0" borderId="0" xfId="0" applyNumberFormat="1" applyFont="1"/>
    <xf numFmtId="0" fontId="24" fillId="0" borderId="0" xfId="0" applyNumberFormat="1" applyFont="1" applyAlignment="1">
      <alignment horizontal="center" vertical="top"/>
    </xf>
    <xf numFmtId="0" fontId="0" fillId="0" borderId="0" xfId="0" applyAlignment="1">
      <alignment vertical="top"/>
    </xf>
    <xf numFmtId="49" fontId="24" fillId="0" borderId="0" xfId="0" applyNumberFormat="1" applyFont="1"/>
    <xf numFmtId="49" fontId="27" fillId="0" borderId="0" xfId="0" applyNumberFormat="1" applyFont="1"/>
    <xf numFmtId="0" fontId="1" fillId="3" borderId="0" xfId="0" applyNumberFormat="1" applyFont="1" applyFill="1" applyBorder="1" applyAlignment="1">
      <alignment horizontal="left" vertical="top" wrapText="1"/>
    </xf>
    <xf numFmtId="0" fontId="1" fillId="3" borderId="0" xfId="0" applyNumberFormat="1" applyFont="1" applyFill="1" applyBorder="1" applyAlignment="1">
      <alignment horizontal="center" vertical="top" wrapText="1"/>
    </xf>
    <xf numFmtId="0" fontId="1" fillId="3" borderId="0" xfId="0" applyFont="1" applyFill="1" applyBorder="1" applyAlignment="1">
      <alignment horizontal="left" vertical="top" wrapText="1"/>
    </xf>
    <xf numFmtId="4" fontId="1" fillId="3" borderId="0" xfId="10" applyNumberFormat="1" applyFont="1" applyFill="1" applyBorder="1" applyAlignment="1">
      <alignment vertical="top" wrapText="1"/>
    </xf>
    <xf numFmtId="0" fontId="1" fillId="3" borderId="0" xfId="0" applyNumberFormat="1" applyFont="1" applyFill="1" applyBorder="1" applyAlignment="1">
      <alignment horizontal="left" vertical="top"/>
    </xf>
    <xf numFmtId="0" fontId="1" fillId="3" borderId="0" xfId="1" applyNumberFormat="1" applyFont="1" applyFill="1" applyBorder="1" applyAlignment="1">
      <alignment vertical="top" wrapText="1"/>
    </xf>
    <xf numFmtId="0" fontId="1" fillId="3" borderId="0" xfId="0" applyFont="1" applyFill="1" applyBorder="1" applyAlignment="1">
      <alignment horizontal="center" vertical="top" wrapText="1"/>
    </xf>
    <xf numFmtId="0" fontId="1" fillId="3" borderId="0" xfId="1" applyFont="1" applyFill="1" applyBorder="1" applyAlignment="1">
      <alignment horizontal="center" vertical="top" wrapText="1"/>
    </xf>
    <xf numFmtId="43" fontId="1" fillId="3" borderId="0" xfId="3" applyFont="1" applyFill="1" applyBorder="1" applyAlignment="1">
      <alignment horizontal="left" vertical="top"/>
    </xf>
    <xf numFmtId="43" fontId="1" fillId="3" borderId="0" xfId="3" applyFont="1" applyFill="1" applyBorder="1" applyAlignment="1">
      <alignment vertical="top" wrapText="1"/>
    </xf>
    <xf numFmtId="43" fontId="3" fillId="3" borderId="0" xfId="2" applyNumberFormat="1" applyFont="1" applyFill="1" applyBorder="1" applyAlignment="1">
      <alignment horizontal="left" vertical="top"/>
    </xf>
    <xf numFmtId="43" fontId="3" fillId="3" borderId="0" xfId="3" applyFont="1" applyFill="1" applyBorder="1" applyAlignment="1">
      <alignment horizontal="left" vertical="top"/>
    </xf>
    <xf numFmtId="0" fontId="6" fillId="0" borderId="4" xfId="0" applyFont="1" applyBorder="1" applyAlignment="1">
      <alignment horizontal="center" vertical="top"/>
    </xf>
    <xf numFmtId="0" fontId="6" fillId="0" borderId="4" xfId="0" applyFont="1" applyBorder="1" applyAlignment="1">
      <alignment horizontal="center" vertical="top" wrapText="1"/>
    </xf>
    <xf numFmtId="0" fontId="6" fillId="0" borderId="4" xfId="0" applyNumberFormat="1" applyFont="1" applyBorder="1" applyAlignment="1">
      <alignment horizontal="center" vertical="top"/>
    </xf>
    <xf numFmtId="0" fontId="3" fillId="3" borderId="0" xfId="0" applyFont="1" applyFill="1" applyBorder="1" applyAlignment="1">
      <alignment horizontal="center" vertical="top"/>
    </xf>
    <xf numFmtId="0" fontId="3" fillId="3" borderId="0" xfId="0" applyNumberFormat="1" applyFont="1" applyFill="1" applyBorder="1" applyAlignment="1">
      <alignment horizontal="center" vertical="top" wrapText="1"/>
    </xf>
    <xf numFmtId="0" fontId="0" fillId="0" borderId="5" xfId="0" applyBorder="1"/>
    <xf numFmtId="0" fontId="0" fillId="0" borderId="6" xfId="0" applyBorder="1"/>
    <xf numFmtId="0" fontId="0" fillId="0" borderId="2" xfId="0" applyBorder="1" applyAlignment="1">
      <alignment horizontal="center"/>
    </xf>
    <xf numFmtId="0" fontId="22" fillId="0" borderId="7" xfId="0" applyFont="1" applyBorder="1"/>
    <xf numFmtId="0" fontId="22" fillId="0" borderId="4" xfId="0" applyFont="1" applyBorder="1" applyAlignment="1">
      <alignment horizontal="center"/>
    </xf>
    <xf numFmtId="43" fontId="0" fillId="0" borderId="8" xfId="0" applyNumberFormat="1" applyBorder="1"/>
    <xf numFmtId="0" fontId="0" fillId="0" borderId="9" xfId="0" applyBorder="1"/>
    <xf numFmtId="0" fontId="0" fillId="0" borderId="1" xfId="0" applyBorder="1" applyAlignment="1">
      <alignment horizontal="center"/>
    </xf>
    <xf numFmtId="0" fontId="0" fillId="0" borderId="3" xfId="0" applyBorder="1" applyAlignment="1">
      <alignment horizontal="center"/>
    </xf>
    <xf numFmtId="43" fontId="0" fillId="0" borderId="10" xfId="0" applyNumberFormat="1" applyFont="1" applyBorder="1" applyAlignment="1">
      <alignment horizontal="center"/>
    </xf>
    <xf numFmtId="0" fontId="0" fillId="0" borderId="0" xfId="0" applyBorder="1"/>
    <xf numFmtId="0" fontId="0" fillId="0" borderId="0" xfId="0" applyBorder="1" applyAlignment="1">
      <alignment horizontal="center"/>
    </xf>
    <xf numFmtId="43" fontId="0" fillId="0" borderId="0" xfId="0" applyNumberFormat="1" applyBorder="1"/>
    <xf numFmtId="43" fontId="22" fillId="0" borderId="11" xfId="3" applyFont="1" applyBorder="1" applyAlignment="1">
      <alignment horizontal="center"/>
    </xf>
    <xf numFmtId="0" fontId="23" fillId="5" borderId="12" xfId="0" applyFont="1" applyFill="1" applyBorder="1" applyAlignment="1">
      <alignment horizontal="center" vertical="top" wrapText="1"/>
    </xf>
    <xf numFmtId="0" fontId="0" fillId="3" borderId="5" xfId="0" applyFill="1" applyBorder="1"/>
    <xf numFmtId="0" fontId="0" fillId="3" borderId="0" xfId="0" applyFill="1"/>
    <xf numFmtId="0" fontId="0" fillId="3" borderId="0" xfId="0" applyNumberFormat="1" applyFill="1"/>
    <xf numFmtId="0" fontId="0" fillId="3" borderId="0" xfId="0" applyFont="1" applyFill="1"/>
    <xf numFmtId="43" fontId="0" fillId="0" borderId="8" xfId="0" applyNumberFormat="1" applyFont="1" applyBorder="1" applyAlignment="1">
      <alignment horizontal="center"/>
    </xf>
    <xf numFmtId="0" fontId="30" fillId="5" borderId="14" xfId="0" applyFont="1" applyFill="1" applyBorder="1" applyAlignment="1">
      <alignment horizontal="center" vertical="center"/>
    </xf>
    <xf numFmtId="0" fontId="30" fillId="5" borderId="15" xfId="0" applyFont="1" applyFill="1" applyBorder="1" applyAlignment="1">
      <alignment horizontal="center" vertical="center" wrapText="1"/>
    </xf>
    <xf numFmtId="0" fontId="22" fillId="3" borderId="0" xfId="0" applyFont="1" applyFill="1"/>
    <xf numFmtId="0" fontId="22" fillId="3" borderId="0" xfId="0" applyNumberFormat="1" applyFont="1" applyFill="1"/>
    <xf numFmtId="49" fontId="0" fillId="3" borderId="0" xfId="0" applyNumberFormat="1" applyFont="1" applyFill="1"/>
    <xf numFmtId="0" fontId="0" fillId="3" borderId="0" xfId="0" applyNumberFormat="1" applyFont="1" applyFill="1"/>
    <xf numFmtId="0" fontId="0" fillId="6" borderId="16" xfId="0" applyFill="1" applyBorder="1"/>
    <xf numFmtId="0" fontId="0" fillId="6" borderId="17" xfId="0" applyFill="1" applyBorder="1"/>
    <xf numFmtId="0" fontId="31" fillId="6" borderId="17" xfId="0" applyFont="1" applyFill="1" applyBorder="1"/>
    <xf numFmtId="0" fontId="0" fillId="6" borderId="18" xfId="0" applyFill="1" applyBorder="1"/>
    <xf numFmtId="0" fontId="0" fillId="0" borderId="19" xfId="0" applyBorder="1"/>
    <xf numFmtId="0" fontId="0" fillId="0" borderId="20" xfId="0" applyBorder="1"/>
    <xf numFmtId="0" fontId="22" fillId="0" borderId="19" xfId="0" applyFont="1" applyBorder="1"/>
    <xf numFmtId="0" fontId="22" fillId="0" borderId="0" xfId="0" applyFont="1" applyBorder="1"/>
    <xf numFmtId="0" fontId="0" fillId="0" borderId="21" xfId="0" applyBorder="1"/>
    <xf numFmtId="0" fontId="0" fillId="0" borderId="22" xfId="0" applyBorder="1"/>
    <xf numFmtId="0" fontId="0" fillId="0" borderId="23" xfId="0" applyBorder="1"/>
    <xf numFmtId="0" fontId="32" fillId="0" borderId="0" xfId="0" applyFont="1" applyBorder="1"/>
    <xf numFmtId="0" fontId="22" fillId="0" borderId="20" xfId="0" applyFont="1" applyBorder="1"/>
    <xf numFmtId="0" fontId="0" fillId="0" borderId="0" xfId="0" applyFont="1" applyBorder="1"/>
    <xf numFmtId="49" fontId="0" fillId="0" borderId="20" xfId="0" applyNumberFormat="1" applyFont="1" applyBorder="1"/>
    <xf numFmtId="0" fontId="0" fillId="3" borderId="0" xfId="0" applyFill="1" applyBorder="1"/>
    <xf numFmtId="0" fontId="0" fillId="7" borderId="5" xfId="0" applyFill="1" applyBorder="1"/>
    <xf numFmtId="0" fontId="0" fillId="7" borderId="2" xfId="0" applyFill="1" applyBorder="1" applyAlignment="1">
      <alignment horizontal="center"/>
    </xf>
    <xf numFmtId="43" fontId="0" fillId="7" borderId="8" xfId="0" applyNumberFormat="1" applyFill="1" applyBorder="1"/>
    <xf numFmtId="0" fontId="30" fillId="5" borderId="24" xfId="0" applyFont="1" applyFill="1" applyBorder="1" applyAlignment="1">
      <alignment horizontal="center" vertical="center"/>
    </xf>
    <xf numFmtId="43" fontId="0" fillId="0" borderId="13" xfId="0" applyNumberFormat="1" applyFont="1" applyBorder="1" applyAlignment="1">
      <alignment horizontal="center"/>
    </xf>
    <xf numFmtId="0" fontId="33" fillId="8" borderId="0" xfId="0" applyFont="1" applyFill="1"/>
    <xf numFmtId="0" fontId="0" fillId="8" borderId="0" xfId="0" applyFill="1"/>
    <xf numFmtId="0" fontId="0" fillId="9" borderId="16" xfId="0" applyFill="1" applyBorder="1"/>
    <xf numFmtId="0" fontId="0" fillId="9" borderId="17" xfId="0" applyFill="1" applyBorder="1"/>
    <xf numFmtId="0" fontId="0" fillId="9" borderId="18" xfId="0" applyFill="1" applyBorder="1"/>
    <xf numFmtId="0" fontId="34" fillId="9" borderId="17" xfId="0" applyFont="1" applyFill="1" applyBorder="1"/>
    <xf numFmtId="0" fontId="35" fillId="0" borderId="0" xfId="0" applyFont="1" applyBorder="1" applyAlignment="1">
      <alignment horizontal="left" indent="2"/>
    </xf>
    <xf numFmtId="0" fontId="27" fillId="0" borderId="25" xfId="0" applyNumberFormat="1" applyFont="1" applyBorder="1"/>
    <xf numFmtId="0" fontId="23" fillId="10" borderId="25" xfId="0" applyNumberFormat="1" applyFont="1" applyFill="1" applyBorder="1" applyAlignment="1">
      <alignment horizontal="center" vertical="center" wrapText="1"/>
    </xf>
    <xf numFmtId="0" fontId="30" fillId="5" borderId="26" xfId="0" applyFont="1" applyFill="1" applyBorder="1" applyAlignment="1">
      <alignment horizontal="center" vertical="center"/>
    </xf>
    <xf numFmtId="43" fontId="0" fillId="0" borderId="27" xfId="0" applyNumberFormat="1" applyBorder="1" applyAlignment="1">
      <alignment horizontal="center"/>
    </xf>
    <xf numFmtId="43" fontId="0" fillId="0" borderId="25" xfId="0" applyNumberFormat="1" applyBorder="1" applyAlignment="1">
      <alignment horizontal="center"/>
    </xf>
    <xf numFmtId="43" fontId="22" fillId="0" borderId="28" xfId="3" applyFont="1" applyBorder="1" applyAlignment="1">
      <alignment horizontal="center"/>
    </xf>
    <xf numFmtId="43" fontId="21" fillId="0" borderId="25" xfId="3" applyFont="1" applyBorder="1" applyAlignment="1">
      <alignment horizontal="center"/>
    </xf>
    <xf numFmtId="43" fontId="0" fillId="0" borderId="2" xfId="0" applyNumberFormat="1" applyBorder="1"/>
    <xf numFmtId="43" fontId="0" fillId="0" borderId="3" xfId="0" applyNumberFormat="1" applyBorder="1"/>
    <xf numFmtId="43" fontId="22" fillId="0" borderId="4" xfId="0" applyNumberFormat="1" applyFont="1" applyBorder="1" applyAlignment="1">
      <alignment horizontal="center"/>
    </xf>
    <xf numFmtId="43" fontId="0" fillId="0" borderId="20" xfId="0" applyNumberFormat="1" applyBorder="1"/>
    <xf numFmtId="43" fontId="0" fillId="3" borderId="0" xfId="0" applyNumberFormat="1" applyFill="1"/>
    <xf numFmtId="43" fontId="22" fillId="0" borderId="28" xfId="0" applyNumberFormat="1" applyFont="1" applyBorder="1" applyAlignment="1">
      <alignment horizontal="center"/>
    </xf>
    <xf numFmtId="43" fontId="0" fillId="7" borderId="25" xfId="0" applyNumberFormat="1" applyFill="1" applyBorder="1" applyAlignment="1">
      <alignment horizontal="center"/>
    </xf>
    <xf numFmtId="0" fontId="0" fillId="3" borderId="0" xfId="0" applyFill="1" applyAlignment="1">
      <alignment horizontal="center"/>
    </xf>
    <xf numFmtId="0" fontId="22" fillId="3" borderId="0" xfId="0" applyFont="1" applyFill="1" applyAlignment="1">
      <alignment horizontal="center"/>
    </xf>
    <xf numFmtId="0" fontId="0" fillId="3" borderId="0" xfId="0" applyFont="1" applyFill="1" applyAlignment="1">
      <alignment horizontal="center"/>
    </xf>
    <xf numFmtId="0" fontId="0" fillId="9" borderId="0" xfId="0" applyFont="1" applyFill="1"/>
    <xf numFmtId="0" fontId="22" fillId="0" borderId="0" xfId="0" applyFont="1" applyBorder="1" applyAlignment="1">
      <alignment horizontal="center"/>
    </xf>
    <xf numFmtId="43" fontId="22" fillId="0" borderId="0" xfId="0" applyNumberFormat="1" applyFont="1" applyBorder="1" applyAlignment="1">
      <alignment horizontal="center"/>
    </xf>
    <xf numFmtId="43" fontId="22" fillId="0" borderId="0" xfId="3" applyFont="1" applyBorder="1" applyAlignment="1">
      <alignment horizontal="center"/>
    </xf>
    <xf numFmtId="43" fontId="0" fillId="0" borderId="13" xfId="0" applyNumberFormat="1" applyBorder="1"/>
    <xf numFmtId="43" fontId="0" fillId="0" borderId="10" xfId="0" applyNumberFormat="1" applyBorder="1"/>
    <xf numFmtId="43" fontId="0" fillId="0" borderId="25" xfId="0" applyNumberFormat="1" applyBorder="1"/>
    <xf numFmtId="43" fontId="21" fillId="0" borderId="27" xfId="3" applyFont="1" applyBorder="1" applyAlignment="1">
      <alignment horizontal="center"/>
    </xf>
    <xf numFmtId="43" fontId="21" fillId="0" borderId="2" xfId="3" applyFont="1" applyBorder="1" applyAlignment="1">
      <alignment horizontal="center"/>
    </xf>
    <xf numFmtId="0" fontId="0" fillId="0" borderId="9" xfId="0" applyFont="1" applyBorder="1"/>
    <xf numFmtId="0" fontId="0" fillId="0" borderId="5" xfId="0" applyFont="1" applyBorder="1"/>
    <xf numFmtId="0" fontId="0" fillId="0" borderId="6" xfId="0" applyFont="1" applyBorder="1"/>
    <xf numFmtId="43" fontId="0" fillId="7" borderId="2" xfId="0" applyNumberFormat="1" applyFill="1" applyBorder="1"/>
    <xf numFmtId="43" fontId="21" fillId="0" borderId="0" xfId="3" applyFont="1" applyBorder="1" applyAlignment="1">
      <alignment horizontal="center"/>
    </xf>
    <xf numFmtId="0" fontId="25" fillId="0" borderId="0" xfId="0" applyNumberFormat="1" applyFont="1" applyAlignment="1">
      <alignment horizontal="center"/>
    </xf>
    <xf numFmtId="0" fontId="27" fillId="0" borderId="0" xfId="0" applyNumberFormat="1" applyFont="1" applyAlignment="1">
      <alignment horizontal="center"/>
    </xf>
    <xf numFmtId="0" fontId="1" fillId="3" borderId="0" xfId="1" applyNumberFormat="1" applyFont="1" applyFill="1" applyBorder="1" applyAlignment="1">
      <alignment horizontal="center" vertical="top" wrapText="1"/>
    </xf>
    <xf numFmtId="0" fontId="24" fillId="0" borderId="0" xfId="0" applyNumberFormat="1" applyFont="1" applyAlignment="1">
      <alignment horizontal="center"/>
    </xf>
    <xf numFmtId="0" fontId="0" fillId="0" borderId="0" xfId="0" applyAlignment="1">
      <alignment horizontal="left" indent="1"/>
    </xf>
    <xf numFmtId="0" fontId="22" fillId="0" borderId="83" xfId="0" applyFont="1" applyBorder="1" applyAlignment="1">
      <alignment horizontal="left"/>
    </xf>
    <xf numFmtId="0" fontId="0" fillId="0" borderId="2" xfId="0" applyBorder="1" applyAlignment="1">
      <alignment horizontal="left" indent="1"/>
    </xf>
    <xf numFmtId="0" fontId="0" fillId="0" borderId="2" xfId="0" applyBorder="1" applyAlignment="1">
      <alignment horizontal="left" vertical="top" indent="1"/>
    </xf>
    <xf numFmtId="0" fontId="22" fillId="7" borderId="2" xfId="0" applyFont="1" applyFill="1" applyBorder="1" applyAlignment="1">
      <alignment horizontal="left"/>
    </xf>
    <xf numFmtId="0" fontId="22" fillId="7" borderId="2" xfId="0" applyFont="1" applyFill="1" applyBorder="1" applyAlignment="1">
      <alignment horizontal="left" vertical="top"/>
    </xf>
    <xf numFmtId="0" fontId="22" fillId="7" borderId="2" xfId="0" applyFont="1" applyFill="1" applyBorder="1" applyAlignment="1">
      <alignment horizontal="left" wrapText="1"/>
    </xf>
    <xf numFmtId="0" fontId="22" fillId="7" borderId="2" xfId="0" applyFont="1" applyFill="1" applyBorder="1" applyAlignment="1">
      <alignment horizontal="left" vertical="top" wrapText="1"/>
    </xf>
    <xf numFmtId="0" fontId="0" fillId="0" borderId="2" xfId="0" applyBorder="1" applyAlignment="1">
      <alignment horizontal="left" wrapText="1" indent="1"/>
    </xf>
    <xf numFmtId="0" fontId="0" fillId="0" borderId="2" xfId="0" applyBorder="1" applyAlignment="1">
      <alignment horizontal="left" vertical="top" wrapText="1" indent="1"/>
    </xf>
    <xf numFmtId="0" fontId="36" fillId="0" borderId="2" xfId="0" applyFont="1" applyBorder="1" applyAlignment="1">
      <alignment horizontal="center" vertical="center"/>
    </xf>
    <xf numFmtId="43" fontId="22" fillId="0" borderId="0" xfId="3" applyFont="1" applyBorder="1" applyAlignment="1">
      <alignment horizontal="left"/>
    </xf>
    <xf numFmtId="0" fontId="37" fillId="0" borderId="0" xfId="0" applyFont="1" applyBorder="1" applyAlignment="1">
      <alignment vertical="center"/>
    </xf>
    <xf numFmtId="9" fontId="37" fillId="0" borderId="0" xfId="0" applyNumberFormat="1" applyFont="1" applyBorder="1" applyAlignment="1">
      <alignment horizontal="center" vertical="top"/>
    </xf>
    <xf numFmtId="0" fontId="27" fillId="0" borderId="29" xfId="0" applyFont="1" applyBorder="1"/>
    <xf numFmtId="0" fontId="0" fillId="0" borderId="2" xfId="0" applyBorder="1" applyAlignment="1">
      <alignment horizontal="center" vertical="top"/>
    </xf>
    <xf numFmtId="0" fontId="38" fillId="11" borderId="2" xfId="0" applyFont="1" applyFill="1" applyBorder="1" applyAlignment="1">
      <alignment horizontal="center" vertical="center" wrapText="1"/>
    </xf>
    <xf numFmtId="0" fontId="39" fillId="0" borderId="2" xfId="0" applyFont="1" applyBorder="1" applyAlignment="1">
      <alignment vertical="center"/>
    </xf>
    <xf numFmtId="0" fontId="39" fillId="0" borderId="2" xfId="0" applyFont="1" applyBorder="1" applyAlignment="1">
      <alignment horizontal="center" vertical="center"/>
    </xf>
    <xf numFmtId="0" fontId="39" fillId="12" borderId="2" xfId="0" applyFont="1" applyFill="1" applyBorder="1" applyAlignment="1">
      <alignment vertical="center"/>
    </xf>
    <xf numFmtId="0" fontId="22" fillId="3" borderId="20" xfId="0" applyFont="1" applyFill="1" applyBorder="1"/>
    <xf numFmtId="0" fontId="38" fillId="11" borderId="2" xfId="0" applyFont="1" applyFill="1" applyBorder="1" applyAlignment="1">
      <alignment horizontal="center" vertical="center"/>
    </xf>
    <xf numFmtId="4" fontId="39" fillId="13" borderId="2" xfId="0" applyNumberFormat="1" applyFont="1" applyFill="1" applyBorder="1" applyAlignment="1">
      <alignment horizontal="right" vertical="center"/>
    </xf>
    <xf numFmtId="0" fontId="39" fillId="0" borderId="2" xfId="0" applyFont="1" applyBorder="1" applyAlignment="1">
      <alignment horizontal="left" vertical="center" indent="2"/>
    </xf>
    <xf numFmtId="43" fontId="39" fillId="0" borderId="2" xfId="0" applyNumberFormat="1" applyFont="1" applyBorder="1" applyAlignment="1">
      <alignment horizontal="right" vertical="center"/>
    </xf>
    <xf numFmtId="43" fontId="39" fillId="12" borderId="2" xfId="0" applyNumberFormat="1" applyFont="1" applyFill="1" applyBorder="1" applyAlignment="1">
      <alignment horizontal="right" vertical="center"/>
    </xf>
    <xf numFmtId="43" fontId="22" fillId="0" borderId="20" xfId="3" applyFont="1" applyBorder="1" applyAlignment="1">
      <alignment horizontal="center"/>
    </xf>
    <xf numFmtId="43" fontId="0" fillId="14" borderId="2" xfId="0" applyNumberFormat="1" applyFill="1" applyBorder="1"/>
    <xf numFmtId="43" fontId="21" fillId="14" borderId="2" xfId="3" applyFont="1" applyFill="1" applyBorder="1" applyAlignment="1">
      <alignment horizontal="center"/>
    </xf>
    <xf numFmtId="0" fontId="24" fillId="3" borderId="0" xfId="0" applyFont="1" applyFill="1" applyBorder="1" applyAlignment="1">
      <alignment vertical="top"/>
    </xf>
    <xf numFmtId="0" fontId="24" fillId="3" borderId="0" xfId="0" applyFont="1" applyFill="1" applyBorder="1" applyAlignment="1">
      <alignment horizontal="center" vertical="top"/>
    </xf>
    <xf numFmtId="43" fontId="6" fillId="0" borderId="4" xfId="3" applyFont="1" applyBorder="1" applyAlignment="1">
      <alignment horizontal="center" vertical="top"/>
    </xf>
    <xf numFmtId="43" fontId="6" fillId="0" borderId="4" xfId="0" applyNumberFormat="1" applyFont="1" applyBorder="1" applyAlignment="1">
      <alignment horizontal="center" vertical="top"/>
    </xf>
    <xf numFmtId="43" fontId="7" fillId="0" borderId="4" xfId="0" applyNumberFormat="1" applyFont="1" applyBorder="1" applyAlignment="1">
      <alignment horizontal="center" vertical="top"/>
    </xf>
    <xf numFmtId="49" fontId="6" fillId="0" borderId="4" xfId="0" applyNumberFormat="1" applyFont="1" applyBorder="1" applyAlignment="1">
      <alignment horizontal="center" vertical="top"/>
    </xf>
    <xf numFmtId="0" fontId="7" fillId="0" borderId="4" xfId="2" applyFont="1" applyBorder="1" applyAlignment="1">
      <alignment horizontal="center" vertical="top"/>
    </xf>
    <xf numFmtId="0" fontId="6" fillId="0" borderId="11" xfId="0" applyFont="1" applyBorder="1" applyAlignment="1">
      <alignment horizontal="center" vertical="top"/>
    </xf>
    <xf numFmtId="43" fontId="6" fillId="0" borderId="11" xfId="0" applyNumberFormat="1" applyFont="1" applyBorder="1" applyAlignment="1">
      <alignment horizontal="center" vertical="top"/>
    </xf>
    <xf numFmtId="0" fontId="24" fillId="0" borderId="0" xfId="0" applyFont="1" applyAlignment="1">
      <alignment vertical="top"/>
    </xf>
    <xf numFmtId="10" fontId="24" fillId="0" borderId="0" xfId="13" applyNumberFormat="1" applyFont="1" applyAlignment="1">
      <alignment horizontal="center" vertical="top"/>
    </xf>
    <xf numFmtId="9" fontId="24" fillId="0" borderId="0" xfId="13" applyFont="1" applyAlignment="1">
      <alignment horizontal="center" vertical="top"/>
    </xf>
    <xf numFmtId="0" fontId="24" fillId="0" borderId="0" xfId="13" applyNumberFormat="1" applyFont="1" applyAlignment="1">
      <alignment horizontal="center" vertical="top"/>
    </xf>
    <xf numFmtId="43" fontId="24" fillId="0" borderId="0" xfId="3" applyFont="1" applyAlignment="1">
      <alignment vertical="top"/>
    </xf>
    <xf numFmtId="43" fontId="24" fillId="0" borderId="0" xfId="3" applyFont="1" applyAlignment="1">
      <alignment horizontal="center" vertical="top"/>
    </xf>
    <xf numFmtId="43" fontId="24" fillId="0" borderId="0" xfId="0" applyNumberFormat="1" applyFont="1" applyAlignment="1">
      <alignment horizontal="center" vertical="top"/>
    </xf>
    <xf numFmtId="43" fontId="26" fillId="0" borderId="0" xfId="0" applyNumberFormat="1" applyFont="1" applyAlignment="1">
      <alignment vertical="top"/>
    </xf>
    <xf numFmtId="0" fontId="26" fillId="0" borderId="0" xfId="2" applyFont="1" applyAlignment="1">
      <alignment vertical="top"/>
    </xf>
    <xf numFmtId="0" fontId="26" fillId="0" borderId="0" xfId="0" applyFont="1" applyAlignment="1">
      <alignment vertical="top"/>
    </xf>
    <xf numFmtId="49" fontId="24" fillId="0" borderId="0" xfId="0" applyNumberFormat="1" applyFont="1" applyAlignment="1">
      <alignment vertical="top"/>
    </xf>
    <xf numFmtId="43" fontId="24" fillId="0" borderId="0" xfId="0" applyNumberFormat="1" applyFont="1" applyAlignment="1">
      <alignment vertical="top"/>
    </xf>
    <xf numFmtId="0" fontId="24" fillId="0" borderId="33" xfId="0" applyFont="1" applyBorder="1" applyAlignment="1">
      <alignment vertical="top"/>
    </xf>
    <xf numFmtId="43" fontId="24" fillId="0" borderId="34" xfId="0" applyNumberFormat="1" applyFont="1" applyBorder="1" applyAlignment="1">
      <alignment vertical="top"/>
    </xf>
    <xf numFmtId="0" fontId="24" fillId="0" borderId="35" xfId="0" applyFont="1" applyBorder="1" applyAlignment="1">
      <alignment vertical="top"/>
    </xf>
    <xf numFmtId="0" fontId="24" fillId="0" borderId="9" xfId="0" applyNumberFormat="1" applyFont="1" applyBorder="1" applyAlignment="1">
      <alignment horizontal="center" vertical="top"/>
    </xf>
    <xf numFmtId="0" fontId="24" fillId="0" borderId="10" xfId="0" applyFont="1" applyBorder="1" applyAlignment="1">
      <alignment horizontal="center" vertical="top"/>
    </xf>
    <xf numFmtId="0" fontId="24" fillId="0" borderId="5" xfId="0" applyNumberFormat="1" applyFont="1" applyBorder="1" applyAlignment="1">
      <alignment horizontal="center" vertical="top"/>
    </xf>
    <xf numFmtId="0" fontId="24" fillId="0" borderId="8" xfId="0" applyFont="1" applyBorder="1" applyAlignment="1">
      <alignment horizontal="center" vertical="top"/>
    </xf>
    <xf numFmtId="0" fontId="24" fillId="0" borderId="6" xfId="0" applyNumberFormat="1" applyFont="1" applyBorder="1" applyAlignment="1">
      <alignment horizontal="center" vertical="top"/>
    </xf>
    <xf numFmtId="0" fontId="24" fillId="0" borderId="13" xfId="0" applyFont="1" applyBorder="1" applyAlignment="1">
      <alignment horizontal="center" vertical="top"/>
    </xf>
    <xf numFmtId="0" fontId="30" fillId="5" borderId="2" xfId="0" applyFont="1" applyFill="1" applyBorder="1" applyAlignment="1">
      <alignment horizontal="center" vertical="center" wrapText="1"/>
    </xf>
    <xf numFmtId="43" fontId="21" fillId="0" borderId="2" xfId="3" applyFont="1" applyBorder="1" applyAlignment="1">
      <alignment horizontal="center" wrapText="1"/>
    </xf>
    <xf numFmtId="43" fontId="0" fillId="0" borderId="2" xfId="0" applyNumberFormat="1" applyBorder="1" applyAlignment="1">
      <alignment wrapText="1"/>
    </xf>
    <xf numFmtId="43" fontId="0" fillId="0" borderId="2" xfId="0" applyNumberFormat="1" applyBorder="1" applyAlignment="1">
      <alignment horizontal="center" wrapText="1"/>
    </xf>
    <xf numFmtId="43" fontId="0" fillId="0" borderId="2" xfId="0" applyNumberFormat="1" applyBorder="1" applyAlignment="1">
      <alignment horizontal="left" wrapText="1"/>
    </xf>
    <xf numFmtId="43" fontId="21" fillId="0" borderId="2" xfId="3" applyFont="1" applyBorder="1" applyAlignment="1">
      <alignment horizontal="left" wrapText="1"/>
    </xf>
    <xf numFmtId="43" fontId="0" fillId="7" borderId="2" xfId="0" applyNumberFormat="1" applyFill="1" applyBorder="1" applyAlignment="1">
      <alignment wrapText="1"/>
    </xf>
    <xf numFmtId="0" fontId="0" fillId="0" borderId="36" xfId="0" applyBorder="1" applyAlignment="1">
      <alignment horizontal="left" wrapText="1"/>
    </xf>
    <xf numFmtId="43" fontId="0" fillId="0" borderId="36" xfId="0" applyNumberFormat="1" applyBorder="1" applyAlignment="1">
      <alignment wrapText="1"/>
    </xf>
    <xf numFmtId="0" fontId="40" fillId="0" borderId="4" xfId="0" applyFont="1" applyBorder="1" applyAlignment="1">
      <alignment horizontal="center"/>
    </xf>
    <xf numFmtId="0" fontId="40" fillId="0" borderId="11" xfId="0" applyFont="1" applyBorder="1" applyAlignment="1">
      <alignment horizontal="center"/>
    </xf>
    <xf numFmtId="0" fontId="40" fillId="15" borderId="7" xfId="0" applyFont="1" applyFill="1" applyBorder="1"/>
    <xf numFmtId="0" fontId="0" fillId="0" borderId="2" xfId="0" applyBorder="1" applyAlignment="1">
      <alignment vertical="top"/>
    </xf>
    <xf numFmtId="0" fontId="0" fillId="0" borderId="2" xfId="0" applyBorder="1" applyAlignment="1">
      <alignment horizontal="left" vertical="top"/>
    </xf>
    <xf numFmtId="0" fontId="0" fillId="0" borderId="2" xfId="0" applyBorder="1" applyAlignment="1">
      <alignment horizontal="left" vertical="top" wrapText="1"/>
    </xf>
    <xf numFmtId="0" fontId="22" fillId="0" borderId="0" xfId="0" applyFont="1" applyAlignment="1">
      <alignment vertical="top"/>
    </xf>
    <xf numFmtId="0" fontId="22" fillId="16" borderId="9" xfId="0" applyFont="1" applyFill="1" applyBorder="1" applyAlignment="1">
      <alignment vertical="top"/>
    </xf>
    <xf numFmtId="0" fontId="22" fillId="16" borderId="1" xfId="0" applyFont="1" applyFill="1" applyBorder="1" applyAlignment="1">
      <alignment vertical="top"/>
    </xf>
    <xf numFmtId="0" fontId="22" fillId="15" borderId="1" xfId="0" applyFont="1" applyFill="1" applyBorder="1" applyAlignment="1">
      <alignment vertical="top"/>
    </xf>
    <xf numFmtId="0" fontId="22" fillId="16" borderId="10" xfId="0" applyFont="1" applyFill="1" applyBorder="1" applyAlignment="1">
      <alignment vertical="top"/>
    </xf>
    <xf numFmtId="0" fontId="0" fillId="0" borderId="5" xfId="0" applyBorder="1" applyAlignment="1">
      <alignment vertical="top"/>
    </xf>
    <xf numFmtId="0" fontId="0" fillId="0" borderId="8" xfId="0" applyBorder="1" applyAlignment="1">
      <alignment vertical="top"/>
    </xf>
    <xf numFmtId="0" fontId="0" fillId="0" borderId="0" xfId="0" applyBorder="1" applyAlignment="1">
      <alignment vertical="top"/>
    </xf>
    <xf numFmtId="0" fontId="0" fillId="0" borderId="6" xfId="0" applyBorder="1" applyAlignment="1">
      <alignment vertical="top"/>
    </xf>
    <xf numFmtId="0" fontId="0" fillId="0" borderId="3" xfId="0" applyBorder="1" applyAlignment="1">
      <alignment vertical="top"/>
    </xf>
    <xf numFmtId="0" fontId="0" fillId="0" borderId="3" xfId="0" applyBorder="1" applyAlignment="1">
      <alignment vertical="top" wrapText="1"/>
    </xf>
    <xf numFmtId="0" fontId="0" fillId="0" borderId="13" xfId="0" applyBorder="1" applyAlignment="1">
      <alignment vertical="top"/>
    </xf>
    <xf numFmtId="0" fontId="41" fillId="0" borderId="0" xfId="0" applyFont="1" applyBorder="1"/>
    <xf numFmtId="0" fontId="39" fillId="0" borderId="2" xfId="0" applyFont="1" applyBorder="1" applyAlignment="1">
      <alignment horizontal="center" vertical="center" wrapText="1"/>
    </xf>
    <xf numFmtId="4" fontId="39" fillId="0" borderId="2" xfId="0" applyNumberFormat="1" applyFont="1" applyBorder="1" applyAlignment="1">
      <alignment horizontal="right" vertical="center"/>
    </xf>
    <xf numFmtId="0" fontId="39" fillId="12" borderId="2" xfId="0" applyFont="1" applyFill="1" applyBorder="1" applyAlignment="1">
      <alignment horizontal="center" vertical="center" wrapText="1"/>
    </xf>
    <xf numFmtId="0" fontId="0" fillId="3" borderId="2" xfId="0" applyFont="1" applyFill="1" applyBorder="1"/>
    <xf numFmtId="0" fontId="36" fillId="0" borderId="2" xfId="0" applyFont="1" applyBorder="1" applyAlignment="1">
      <alignment horizontal="center" vertical="center" wrapText="1"/>
    </xf>
    <xf numFmtId="0" fontId="36" fillId="0" borderId="2" xfId="0" applyFont="1" applyBorder="1" applyAlignment="1">
      <alignment vertical="center" wrapText="1"/>
    </xf>
    <xf numFmtId="164" fontId="21" fillId="0" borderId="2" xfId="3" applyNumberFormat="1" applyFont="1" applyBorder="1" applyAlignment="1">
      <alignment horizontal="center"/>
    </xf>
    <xf numFmtId="0" fontId="22" fillId="0" borderId="2" xfId="0" applyFont="1" applyBorder="1"/>
    <xf numFmtId="0" fontId="35" fillId="0" borderId="0" xfId="0" applyFont="1" applyBorder="1" applyAlignment="1">
      <alignment horizontal="right" indent="2"/>
    </xf>
    <xf numFmtId="43" fontId="36" fillId="0" borderId="2" xfId="3" applyFont="1" applyBorder="1" applyAlignment="1">
      <alignment horizontal="center" vertical="center"/>
    </xf>
    <xf numFmtId="0" fontId="1" fillId="3" borderId="2" xfId="1" applyFont="1" applyFill="1" applyBorder="1" applyAlignment="1">
      <alignment vertical="top"/>
    </xf>
    <xf numFmtId="0" fontId="0" fillId="17" borderId="0" xfId="0" applyFill="1"/>
    <xf numFmtId="0" fontId="0" fillId="17" borderId="0" xfId="0" applyNumberFormat="1" applyFill="1"/>
    <xf numFmtId="0" fontId="0" fillId="17" borderId="0" xfId="0" applyFont="1" applyFill="1"/>
    <xf numFmtId="0" fontId="0" fillId="17" borderId="0" xfId="0" applyFill="1" applyAlignment="1">
      <alignment horizontal="center"/>
    </xf>
    <xf numFmtId="0" fontId="6" fillId="0" borderId="11" xfId="0" applyNumberFormat="1" applyFont="1" applyBorder="1" applyAlignment="1">
      <alignment horizontal="center" vertical="top"/>
    </xf>
    <xf numFmtId="0" fontId="28" fillId="0" borderId="0" xfId="0" quotePrefix="1" applyFont="1"/>
    <xf numFmtId="0" fontId="1" fillId="3" borderId="0" xfId="3" applyNumberFormat="1" applyFont="1" applyFill="1" applyBorder="1" applyAlignment="1">
      <alignment horizontal="center" vertical="top"/>
    </xf>
    <xf numFmtId="0" fontId="23" fillId="10" borderId="37" xfId="0" applyNumberFormat="1" applyFont="1" applyFill="1" applyBorder="1" applyAlignment="1">
      <alignment horizontal="center" vertical="center" wrapText="1"/>
    </xf>
    <xf numFmtId="0" fontId="27" fillId="0" borderId="37" xfId="0" applyNumberFormat="1" applyFont="1" applyBorder="1"/>
    <xf numFmtId="0" fontId="23" fillId="5" borderId="38" xfId="0" applyFont="1" applyFill="1" applyBorder="1" applyAlignment="1">
      <alignment horizontal="center" vertical="top" wrapText="1"/>
    </xf>
    <xf numFmtId="10" fontId="22" fillId="0" borderId="0" xfId="13" applyNumberFormat="1" applyFont="1" applyBorder="1" applyAlignment="1">
      <alignment horizontal="center"/>
    </xf>
    <xf numFmtId="10" fontId="21" fillId="0" borderId="20" xfId="13" applyNumberFormat="1" applyFont="1" applyBorder="1" applyAlignment="1">
      <alignment horizontal="center"/>
    </xf>
    <xf numFmtId="10" fontId="0" fillId="0" borderId="20" xfId="0" applyNumberFormat="1" applyBorder="1" applyAlignment="1">
      <alignment horizontal="center"/>
    </xf>
    <xf numFmtId="49" fontId="0" fillId="0" borderId="0" xfId="0" applyNumberFormat="1" applyFont="1" applyBorder="1"/>
    <xf numFmtId="10" fontId="21" fillId="0" borderId="0" xfId="13" applyNumberFormat="1" applyFont="1" applyBorder="1" applyAlignment="1">
      <alignment horizontal="center"/>
    </xf>
    <xf numFmtId="10" fontId="0" fillId="0" borderId="0" xfId="0" applyNumberFormat="1" applyBorder="1" applyAlignment="1">
      <alignment horizontal="center"/>
    </xf>
    <xf numFmtId="164" fontId="21" fillId="0" borderId="0" xfId="3" applyNumberFormat="1" applyFont="1" applyBorder="1"/>
    <xf numFmtId="0" fontId="22" fillId="3" borderId="0" xfId="0" applyFont="1" applyFill="1" applyBorder="1"/>
    <xf numFmtId="164" fontId="21" fillId="0" borderId="20" xfId="3" applyNumberFormat="1" applyFont="1" applyBorder="1"/>
    <xf numFmtId="0" fontId="0" fillId="7" borderId="5" xfId="0" applyFill="1" applyBorder="1" applyAlignment="1">
      <alignment vertical="top"/>
    </xf>
    <xf numFmtId="0" fontId="0" fillId="7" borderId="2" xfId="0" applyFill="1" applyBorder="1" applyAlignment="1">
      <alignment horizontal="center" vertical="top"/>
    </xf>
    <xf numFmtId="0" fontId="0" fillId="0" borderId="3" xfId="0" applyBorder="1" applyAlignment="1">
      <alignment horizontal="center" vertical="top"/>
    </xf>
    <xf numFmtId="0" fontId="0" fillId="0" borderId="0" xfId="0" applyBorder="1" applyAlignment="1">
      <alignment horizontal="center" vertical="top"/>
    </xf>
    <xf numFmtId="0" fontId="22" fillId="0" borderId="7" xfId="0" applyFont="1" applyBorder="1" applyAlignment="1">
      <alignment vertical="top"/>
    </xf>
    <xf numFmtId="0" fontId="22" fillId="0" borderId="4" xfId="0" applyFont="1" applyBorder="1" applyAlignment="1">
      <alignment horizontal="center" vertical="top"/>
    </xf>
    <xf numFmtId="43" fontId="21" fillId="7" borderId="8" xfId="3" applyFont="1" applyFill="1" applyBorder="1" applyAlignment="1">
      <alignment horizontal="left" vertical="top"/>
    </xf>
    <xf numFmtId="43" fontId="21" fillId="0" borderId="8" xfId="3" applyFont="1" applyBorder="1" applyAlignment="1">
      <alignment horizontal="left" vertical="top"/>
    </xf>
    <xf numFmtId="43" fontId="22" fillId="0" borderId="28" xfId="0" applyNumberFormat="1" applyFont="1" applyBorder="1" applyAlignment="1">
      <alignment horizontal="left" vertical="top"/>
    </xf>
    <xf numFmtId="43" fontId="22" fillId="0" borderId="11" xfId="3" applyFont="1" applyBorder="1" applyAlignment="1">
      <alignment horizontal="left" vertical="top"/>
    </xf>
    <xf numFmtId="43" fontId="21" fillId="7" borderId="25" xfId="3" applyFont="1" applyFill="1" applyBorder="1" applyAlignment="1">
      <alignment horizontal="left" vertical="top"/>
    </xf>
    <xf numFmtId="43" fontId="21" fillId="0" borderId="25" xfId="3" applyFont="1" applyBorder="1" applyAlignment="1">
      <alignment horizontal="left" vertical="top"/>
    </xf>
    <xf numFmtId="43" fontId="21" fillId="0" borderId="12" xfId="3" applyFont="1" applyBorder="1" applyAlignment="1">
      <alignment horizontal="left" vertical="top"/>
    </xf>
    <xf numFmtId="0" fontId="30" fillId="5" borderId="26" xfId="0" applyFont="1" applyFill="1" applyBorder="1" applyAlignment="1">
      <alignment horizontal="center" vertical="center" wrapText="1"/>
    </xf>
    <xf numFmtId="0" fontId="30" fillId="5" borderId="14" xfId="0" applyFont="1" applyFill="1" applyBorder="1" applyAlignment="1">
      <alignment horizontal="center" vertical="center" wrapText="1"/>
    </xf>
    <xf numFmtId="0" fontId="30" fillId="5" borderId="24" xfId="0" applyFont="1" applyFill="1" applyBorder="1" applyAlignment="1">
      <alignment horizontal="center" vertical="center" wrapText="1"/>
    </xf>
    <xf numFmtId="4" fontId="22" fillId="0" borderId="28" xfId="0" applyNumberFormat="1" applyFont="1" applyBorder="1" applyAlignment="1">
      <alignment horizontal="left" vertical="top"/>
    </xf>
    <xf numFmtId="0" fontId="38" fillId="11" borderId="2" xfId="0" applyFont="1" applyFill="1" applyBorder="1" applyAlignment="1">
      <alignment horizontal="center" vertical="center" wrapText="1"/>
    </xf>
    <xf numFmtId="0" fontId="38" fillId="11" borderId="2" xfId="0" applyFont="1" applyFill="1" applyBorder="1" applyAlignment="1">
      <alignment horizontal="center" vertical="center"/>
    </xf>
    <xf numFmtId="0" fontId="42" fillId="0" borderId="0" xfId="0" applyFont="1"/>
    <xf numFmtId="0" fontId="42" fillId="3" borderId="0" xfId="0" applyFont="1" applyFill="1"/>
    <xf numFmtId="43" fontId="22" fillId="3" borderId="0" xfId="3" applyFont="1" applyFill="1"/>
    <xf numFmtId="4" fontId="22" fillId="0" borderId="0" xfId="0" applyNumberFormat="1" applyFont="1" applyBorder="1"/>
    <xf numFmtId="4" fontId="22" fillId="0" borderId="11" xfId="0" applyNumberFormat="1" applyFont="1" applyBorder="1" applyAlignment="1">
      <alignment horizontal="left" vertical="top"/>
    </xf>
    <xf numFmtId="10" fontId="21" fillId="0" borderId="10" xfId="13" applyNumberFormat="1" applyFont="1" applyBorder="1" applyAlignment="1">
      <alignment horizontal="center"/>
    </xf>
    <xf numFmtId="4" fontId="22" fillId="3" borderId="20" xfId="0" applyNumberFormat="1" applyFont="1" applyFill="1" applyBorder="1"/>
    <xf numFmtId="43" fontId="22" fillId="3" borderId="0" xfId="3" applyFont="1" applyFill="1" applyBorder="1"/>
    <xf numFmtId="3" fontId="22" fillId="0" borderId="28" xfId="3" applyNumberFormat="1" applyFont="1" applyBorder="1" applyAlignment="1">
      <alignment horizontal="left" vertical="top"/>
    </xf>
    <xf numFmtId="43" fontId="21" fillId="7" borderId="25" xfId="3" applyFont="1" applyFill="1" applyBorder="1" applyAlignment="1">
      <alignment horizontal="center" vertical="top"/>
    </xf>
    <xf numFmtId="10" fontId="22" fillId="0" borderId="8" xfId="13" applyNumberFormat="1" applyFont="1" applyBorder="1" applyAlignment="1">
      <alignment horizontal="center" vertical="top"/>
    </xf>
    <xf numFmtId="10" fontId="22" fillId="7" borderId="8" xfId="13" applyNumberFormat="1" applyFont="1" applyFill="1" applyBorder="1" applyAlignment="1">
      <alignment horizontal="center" vertical="top"/>
    </xf>
    <xf numFmtId="10" fontId="22" fillId="0" borderId="13" xfId="13" applyNumberFormat="1" applyFont="1" applyBorder="1" applyAlignment="1">
      <alignment horizontal="center" vertical="top"/>
    </xf>
    <xf numFmtId="0" fontId="22" fillId="7" borderId="8" xfId="13" applyNumberFormat="1" applyFont="1" applyFill="1" applyBorder="1" applyAlignment="1">
      <alignment horizontal="center" vertical="top"/>
    </xf>
    <xf numFmtId="10" fontId="22" fillId="0" borderId="11" xfId="13" applyNumberFormat="1" applyFont="1" applyBorder="1" applyAlignment="1">
      <alignment horizontal="center" vertical="top"/>
    </xf>
    <xf numFmtId="43" fontId="0" fillId="0" borderId="0" xfId="0" applyNumberFormat="1"/>
    <xf numFmtId="0" fontId="43" fillId="0" borderId="0" xfId="0" applyFont="1"/>
    <xf numFmtId="0" fontId="39" fillId="13" borderId="36" xfId="0" applyFont="1" applyFill="1" applyBorder="1" applyAlignment="1">
      <alignment vertical="center"/>
    </xf>
    <xf numFmtId="10" fontId="44" fillId="0" borderId="39" xfId="13" applyNumberFormat="1" applyFont="1" applyBorder="1" applyAlignment="1">
      <alignment horizontal="center"/>
    </xf>
    <xf numFmtId="10" fontId="45" fillId="0" borderId="13" xfId="13" applyNumberFormat="1" applyFont="1" applyBorder="1" applyAlignment="1">
      <alignment horizontal="center"/>
    </xf>
    <xf numFmtId="10" fontId="45" fillId="0" borderId="3" xfId="13" applyNumberFormat="1" applyFont="1" applyBorder="1" applyAlignment="1">
      <alignment horizontal="center"/>
    </xf>
    <xf numFmtId="10" fontId="45" fillId="0" borderId="6" xfId="13" applyNumberFormat="1" applyFont="1" applyBorder="1" applyAlignment="1">
      <alignment horizontal="center"/>
    </xf>
    <xf numFmtId="0" fontId="45" fillId="0" borderId="32" xfId="0" applyFont="1" applyBorder="1"/>
    <xf numFmtId="10" fontId="44" fillId="0" borderId="40" xfId="13" applyNumberFormat="1" applyFont="1" applyBorder="1" applyAlignment="1">
      <alignment horizontal="center"/>
    </xf>
    <xf numFmtId="10" fontId="45" fillId="0" borderId="8" xfId="13" applyNumberFormat="1" applyFont="1" applyBorder="1" applyAlignment="1">
      <alignment horizontal="center"/>
    </xf>
    <xf numFmtId="10" fontId="45" fillId="0" borderId="2" xfId="13" applyNumberFormat="1" applyFont="1" applyBorder="1" applyAlignment="1">
      <alignment horizontal="center"/>
    </xf>
    <xf numFmtId="10" fontId="45" fillId="0" borderId="5" xfId="13" applyNumberFormat="1" applyFont="1" applyBorder="1" applyAlignment="1">
      <alignment horizontal="center"/>
    </xf>
    <xf numFmtId="0" fontId="45" fillId="0" borderId="31" xfId="0" applyFont="1" applyBorder="1"/>
    <xf numFmtId="10" fontId="45" fillId="0" borderId="5" xfId="13" applyNumberFormat="1" applyFont="1" applyBorder="1" applyAlignment="1">
      <alignment horizontal="center" wrapText="1"/>
    </xf>
    <xf numFmtId="10" fontId="45" fillId="0" borderId="2" xfId="13" applyNumberFormat="1" applyFont="1" applyBorder="1" applyAlignment="1">
      <alignment horizontal="center" wrapText="1"/>
    </xf>
    <xf numFmtId="10" fontId="45" fillId="0" borderId="41" xfId="13" applyNumberFormat="1" applyFont="1" applyBorder="1" applyAlignment="1">
      <alignment horizontal="center"/>
    </xf>
    <xf numFmtId="10" fontId="45" fillId="0" borderId="42" xfId="13" applyNumberFormat="1" applyFont="1" applyBorder="1" applyAlignment="1">
      <alignment horizontal="center"/>
    </xf>
    <xf numFmtId="10" fontId="45" fillId="0" borderId="43" xfId="13" applyNumberFormat="1" applyFont="1" applyBorder="1" applyAlignment="1">
      <alignment horizontal="center"/>
    </xf>
    <xf numFmtId="0" fontId="45" fillId="0" borderId="44" xfId="0" applyFont="1" applyBorder="1"/>
    <xf numFmtId="0" fontId="44" fillId="16" borderId="13" xfId="0" applyFont="1" applyFill="1" applyBorder="1" applyAlignment="1">
      <alignment horizontal="center" vertical="top" wrapText="1"/>
    </xf>
    <xf numFmtId="0" fontId="44" fillId="16" borderId="3" xfId="0" applyFont="1" applyFill="1" applyBorder="1" applyAlignment="1">
      <alignment horizontal="center" vertical="top" wrapText="1"/>
    </xf>
    <xf numFmtId="0" fontId="44" fillId="16" borderId="6" xfId="0" applyFont="1" applyFill="1" applyBorder="1" applyAlignment="1">
      <alignment horizontal="center" vertical="top" wrapText="1"/>
    </xf>
    <xf numFmtId="0" fontId="45" fillId="0" borderId="45" xfId="0" applyFont="1" applyBorder="1"/>
    <xf numFmtId="0" fontId="45" fillId="0" borderId="46" xfId="0" applyFont="1" applyBorder="1"/>
    <xf numFmtId="3" fontId="45" fillId="0" borderId="46" xfId="0" applyNumberFormat="1" applyFont="1" applyBorder="1"/>
    <xf numFmtId="0" fontId="45" fillId="0" borderId="47" xfId="0" applyFont="1" applyBorder="1"/>
    <xf numFmtId="9" fontId="46" fillId="0" borderId="48" xfId="13" applyFont="1" applyBorder="1" applyAlignment="1">
      <alignment horizontal="center"/>
    </xf>
    <xf numFmtId="9" fontId="47" fillId="0" borderId="13" xfId="13" applyFont="1" applyBorder="1"/>
    <xf numFmtId="3" fontId="47" fillId="0" borderId="3" xfId="0" applyNumberFormat="1" applyFont="1" applyBorder="1"/>
    <xf numFmtId="3" fontId="47" fillId="0" borderId="6" xfId="0" applyNumberFormat="1" applyFont="1" applyBorder="1"/>
    <xf numFmtId="0" fontId="47" fillId="0" borderId="32" xfId="0" applyFont="1" applyBorder="1"/>
    <xf numFmtId="9" fontId="46" fillId="0" borderId="49" xfId="13" applyFont="1" applyBorder="1" applyAlignment="1">
      <alignment horizontal="center"/>
    </xf>
    <xf numFmtId="9" fontId="47" fillId="0" borderId="8" xfId="13" applyFont="1" applyBorder="1"/>
    <xf numFmtId="3" fontId="47" fillId="0" borderId="2" xfId="0" applyNumberFormat="1" applyFont="1" applyBorder="1"/>
    <xf numFmtId="3" fontId="47" fillId="0" borderId="5" xfId="0" applyNumberFormat="1" applyFont="1" applyBorder="1"/>
    <xf numFmtId="0" fontId="47" fillId="0" borderId="31" xfId="0" applyFont="1" applyBorder="1"/>
    <xf numFmtId="9" fontId="46" fillId="0" borderId="50" xfId="13" applyFont="1" applyBorder="1" applyAlignment="1">
      <alignment horizontal="center"/>
    </xf>
    <xf numFmtId="9" fontId="47" fillId="0" borderId="41" xfId="13" applyFont="1" applyBorder="1"/>
    <xf numFmtId="3" fontId="47" fillId="0" borderId="42" xfId="0" applyNumberFormat="1" applyFont="1" applyBorder="1"/>
    <xf numFmtId="3" fontId="47" fillId="0" borderId="43" xfId="0" applyNumberFormat="1" applyFont="1" applyBorder="1"/>
    <xf numFmtId="0" fontId="47" fillId="0" borderId="44" xfId="0" applyFont="1" applyBorder="1"/>
    <xf numFmtId="0" fontId="46" fillId="16" borderId="48" xfId="0" applyFont="1" applyFill="1" applyBorder="1" applyAlignment="1">
      <alignment horizontal="center" vertical="top" wrapText="1"/>
    </xf>
    <xf numFmtId="0" fontId="46" fillId="16" borderId="13" xfId="0" applyFont="1" applyFill="1" applyBorder="1" applyAlignment="1">
      <alignment horizontal="center" vertical="top" wrapText="1"/>
    </xf>
    <xf numFmtId="0" fontId="46" fillId="16" borderId="3" xfId="0" applyFont="1" applyFill="1" applyBorder="1" applyAlignment="1">
      <alignment horizontal="center" vertical="top" wrapText="1"/>
    </xf>
    <xf numFmtId="0" fontId="46" fillId="16" borderId="6" xfId="0" applyFont="1" applyFill="1" applyBorder="1" applyAlignment="1">
      <alignment horizontal="center" vertical="top" wrapText="1"/>
    </xf>
    <xf numFmtId="0" fontId="46" fillId="16" borderId="51" xfId="0" applyFont="1" applyFill="1" applyBorder="1" applyAlignment="1">
      <alignment horizontal="center"/>
    </xf>
    <xf numFmtId="43" fontId="21" fillId="8" borderId="25" xfId="3" applyFont="1" applyFill="1" applyBorder="1" applyAlignment="1">
      <alignment horizontal="left" vertical="top"/>
    </xf>
    <xf numFmtId="43" fontId="21" fillId="8" borderId="12" xfId="3" applyFont="1" applyFill="1" applyBorder="1" applyAlignment="1">
      <alignment horizontal="left" vertical="top"/>
    </xf>
    <xf numFmtId="10" fontId="22" fillId="8" borderId="8" xfId="13" applyNumberFormat="1" applyFont="1" applyFill="1" applyBorder="1" applyAlignment="1">
      <alignment horizontal="center" vertical="top"/>
    </xf>
    <xf numFmtId="10" fontId="22" fillId="8" borderId="13" xfId="13" applyNumberFormat="1" applyFont="1" applyFill="1" applyBorder="1" applyAlignment="1">
      <alignment horizontal="center" vertical="top"/>
    </xf>
    <xf numFmtId="0" fontId="0" fillId="0" borderId="9" xfId="0" applyBorder="1" applyAlignment="1">
      <alignment vertical="top"/>
    </xf>
    <xf numFmtId="0" fontId="0" fillId="0" borderId="1" xfId="0" applyBorder="1" applyAlignment="1">
      <alignment horizontal="center" vertical="top"/>
    </xf>
    <xf numFmtId="43" fontId="21" fillId="8" borderId="27" xfId="3" applyFont="1" applyFill="1" applyBorder="1" applyAlignment="1">
      <alignment horizontal="left" vertical="top"/>
    </xf>
    <xf numFmtId="43" fontId="21" fillId="0" borderId="27" xfId="3" applyFont="1" applyBorder="1" applyAlignment="1">
      <alignment horizontal="left" vertical="top"/>
    </xf>
    <xf numFmtId="10" fontId="22" fillId="8" borderId="10" xfId="13" applyNumberFormat="1" applyFont="1" applyFill="1" applyBorder="1" applyAlignment="1">
      <alignment horizontal="center" vertical="top"/>
    </xf>
    <xf numFmtId="0" fontId="35" fillId="0" borderId="0" xfId="0" applyFont="1" applyFill="1" applyBorder="1" applyAlignment="1">
      <alignment horizontal="right" vertical="top"/>
    </xf>
    <xf numFmtId="43" fontId="21" fillId="15" borderId="25" xfId="3" applyFont="1" applyFill="1" applyBorder="1" applyAlignment="1">
      <alignment horizontal="left" vertical="top"/>
    </xf>
    <xf numFmtId="0" fontId="0" fillId="16" borderId="9" xfId="0" applyFill="1" applyBorder="1" applyAlignment="1">
      <alignment vertical="top"/>
    </xf>
    <xf numFmtId="0" fontId="0" fillId="16" borderId="1" xfId="0" applyFill="1" applyBorder="1" applyAlignment="1">
      <alignment horizontal="center" vertical="top"/>
    </xf>
    <xf numFmtId="43" fontId="21" fillId="16" borderId="27" xfId="3" applyFont="1" applyFill="1" applyBorder="1" applyAlignment="1">
      <alignment horizontal="left" vertical="top"/>
    </xf>
    <xf numFmtId="10" fontId="22" fillId="16" borderId="10" xfId="13" applyNumberFormat="1" applyFont="1" applyFill="1" applyBorder="1" applyAlignment="1">
      <alignment horizontal="center" vertical="top"/>
    </xf>
    <xf numFmtId="0" fontId="0" fillId="3" borderId="43" xfId="0" applyFill="1" applyBorder="1" applyAlignment="1">
      <alignment vertical="top"/>
    </xf>
    <xf numFmtId="0" fontId="0" fillId="3" borderId="42" xfId="0" applyFill="1" applyBorder="1" applyAlignment="1">
      <alignment horizontal="center" vertical="top"/>
    </xf>
    <xf numFmtId="43" fontId="21" fillId="3" borderId="52" xfId="3" applyFont="1" applyFill="1" applyBorder="1" applyAlignment="1">
      <alignment horizontal="left" vertical="top"/>
    </xf>
    <xf numFmtId="10" fontId="22" fillId="3" borderId="41" xfId="13" applyNumberFormat="1" applyFont="1" applyFill="1" applyBorder="1" applyAlignment="1">
      <alignment horizontal="center" vertical="top"/>
    </xf>
    <xf numFmtId="0" fontId="0" fillId="3" borderId="5" xfId="0" applyFill="1" applyBorder="1" applyAlignment="1">
      <alignment vertical="top"/>
    </xf>
    <xf numFmtId="0" fontId="0" fillId="3" borderId="2" xfId="0" applyFill="1" applyBorder="1" applyAlignment="1">
      <alignment horizontal="center" vertical="top"/>
    </xf>
    <xf numFmtId="43" fontId="21" fillId="3" borderId="25" xfId="3" applyFont="1" applyFill="1" applyBorder="1" applyAlignment="1">
      <alignment horizontal="left" vertical="top"/>
    </xf>
    <xf numFmtId="10" fontId="22" fillId="3" borderId="8" xfId="13" applyNumberFormat="1" applyFont="1" applyFill="1" applyBorder="1" applyAlignment="1">
      <alignment horizontal="center" vertical="top"/>
    </xf>
    <xf numFmtId="0" fontId="0" fillId="3" borderId="6" xfId="0" applyFill="1" applyBorder="1" applyAlignment="1">
      <alignment vertical="top"/>
    </xf>
    <xf numFmtId="0" fontId="0" fillId="3" borderId="3" xfId="0" applyFill="1" applyBorder="1" applyAlignment="1">
      <alignment horizontal="center" vertical="top"/>
    </xf>
    <xf numFmtId="43" fontId="21" fillId="3" borderId="12" xfId="3" applyFont="1" applyFill="1" applyBorder="1" applyAlignment="1">
      <alignment horizontal="left" vertical="top"/>
    </xf>
    <xf numFmtId="10" fontId="22" fillId="3" borderId="13" xfId="13" applyNumberFormat="1" applyFont="1" applyFill="1" applyBorder="1" applyAlignment="1">
      <alignment horizontal="center" vertical="top"/>
    </xf>
    <xf numFmtId="0" fontId="0" fillId="3" borderId="53" xfId="0" applyFill="1" applyBorder="1" applyAlignment="1">
      <alignment vertical="top"/>
    </xf>
    <xf numFmtId="0" fontId="0" fillId="3" borderId="36" xfId="0" applyFill="1" applyBorder="1" applyAlignment="1">
      <alignment horizontal="center" vertical="top"/>
    </xf>
    <xf numFmtId="43" fontId="21" fillId="3" borderId="54" xfId="3" applyFont="1" applyFill="1" applyBorder="1" applyAlignment="1">
      <alignment horizontal="left" vertical="top"/>
    </xf>
    <xf numFmtId="10" fontId="22" fillId="3" borderId="55" xfId="13" applyNumberFormat="1" applyFont="1" applyFill="1" applyBorder="1" applyAlignment="1">
      <alignment horizontal="center" vertical="top"/>
    </xf>
    <xf numFmtId="0" fontId="48" fillId="0" borderId="0" xfId="0" applyFont="1" applyFill="1" applyBorder="1" applyAlignment="1">
      <alignment horizontal="right" vertical="top"/>
    </xf>
    <xf numFmtId="0" fontId="0" fillId="0" borderId="2" xfId="0" applyBorder="1"/>
    <xf numFmtId="43" fontId="21" fillId="0" borderId="0" xfId="3" applyFont="1"/>
    <xf numFmtId="43" fontId="21" fillId="0" borderId="2" xfId="3" applyFont="1" applyBorder="1"/>
    <xf numFmtId="0" fontId="22" fillId="0" borderId="0" xfId="0" applyFont="1"/>
    <xf numFmtId="0" fontId="0" fillId="7" borderId="2" xfId="0" applyFill="1" applyBorder="1" applyAlignment="1">
      <alignment vertical="top"/>
    </xf>
    <xf numFmtId="43" fontId="21" fillId="7" borderId="2" xfId="3" applyFont="1" applyFill="1" applyBorder="1" applyAlignment="1">
      <alignment horizontal="left" vertical="top"/>
    </xf>
    <xf numFmtId="10" fontId="22" fillId="7" borderId="2" xfId="13" applyNumberFormat="1" applyFont="1" applyFill="1" applyBorder="1" applyAlignment="1">
      <alignment horizontal="center" vertical="top"/>
    </xf>
    <xf numFmtId="43" fontId="21" fillId="7" borderId="2" xfId="3" applyFont="1" applyFill="1" applyBorder="1" applyAlignment="1">
      <alignment horizontal="center" vertical="top"/>
    </xf>
    <xf numFmtId="0" fontId="22" fillId="7" borderId="2" xfId="13" applyNumberFormat="1" applyFont="1" applyFill="1" applyBorder="1" applyAlignment="1">
      <alignment horizontal="center" vertical="top"/>
    </xf>
    <xf numFmtId="43" fontId="21" fillId="0" borderId="2" xfId="3" applyFont="1" applyBorder="1" applyAlignment="1">
      <alignment horizontal="left" vertical="top"/>
    </xf>
    <xf numFmtId="10" fontId="22" fillId="0" borderId="2" xfId="13" applyNumberFormat="1" applyFont="1" applyBorder="1" applyAlignment="1">
      <alignment horizontal="center" vertical="top"/>
    </xf>
    <xf numFmtId="43" fontId="21" fillId="8" borderId="2" xfId="3" applyFont="1" applyFill="1" applyBorder="1" applyAlignment="1">
      <alignment horizontal="left" vertical="top"/>
    </xf>
    <xf numFmtId="0" fontId="22" fillId="15" borderId="2" xfId="0" applyFont="1" applyFill="1" applyBorder="1"/>
    <xf numFmtId="0" fontId="0" fillId="3" borderId="2" xfId="0" applyFill="1" applyBorder="1" applyAlignment="1">
      <alignment vertical="top"/>
    </xf>
    <xf numFmtId="43" fontId="21" fillId="3" borderId="2" xfId="3" applyFont="1" applyFill="1" applyBorder="1" applyAlignment="1">
      <alignment vertical="top"/>
    </xf>
    <xf numFmtId="0" fontId="22" fillId="0" borderId="0" xfId="0" applyFont="1" applyBorder="1" applyAlignment="1">
      <alignment vertical="top"/>
    </xf>
    <xf numFmtId="0" fontId="22" fillId="0" borderId="0" xfId="0" applyFont="1" applyBorder="1" applyAlignment="1">
      <alignment horizontal="center" vertical="top"/>
    </xf>
    <xf numFmtId="43" fontId="22" fillId="0" borderId="0" xfId="0" applyNumberFormat="1" applyFont="1" applyBorder="1" applyAlignment="1">
      <alignment horizontal="left" vertical="top"/>
    </xf>
    <xf numFmtId="43" fontId="22" fillId="0" borderId="0" xfId="3" applyFont="1" applyBorder="1" applyAlignment="1">
      <alignment horizontal="left" vertical="top"/>
    </xf>
    <xf numFmtId="0" fontId="0" fillId="6" borderId="0" xfId="0" applyFill="1"/>
    <xf numFmtId="0" fontId="47" fillId="0" borderId="0" xfId="0" applyFont="1" applyFill="1" applyBorder="1"/>
    <xf numFmtId="0" fontId="49" fillId="6" borderId="0" xfId="0" applyFont="1" applyFill="1"/>
    <xf numFmtId="0" fontId="50" fillId="0" borderId="0" xfId="0" applyFont="1"/>
    <xf numFmtId="0" fontId="0" fillId="3" borderId="0" xfId="0" applyFill="1" applyBorder="1" applyAlignment="1">
      <alignment vertical="top"/>
    </xf>
    <xf numFmtId="164" fontId="0" fillId="0" borderId="2" xfId="0" applyNumberFormat="1" applyBorder="1"/>
    <xf numFmtId="164" fontId="0" fillId="3" borderId="2" xfId="0" applyNumberFormat="1" applyFill="1" applyBorder="1"/>
    <xf numFmtId="164" fontId="0" fillId="0" borderId="0" xfId="0" applyNumberFormat="1" applyBorder="1"/>
    <xf numFmtId="164" fontId="22" fillId="0" borderId="4" xfId="0" applyNumberFormat="1" applyFont="1" applyBorder="1" applyAlignment="1">
      <alignment horizontal="center"/>
    </xf>
    <xf numFmtId="4" fontId="21" fillId="0" borderId="0" xfId="3" applyNumberFormat="1" applyFont="1" applyBorder="1" applyAlignment="1">
      <alignment horizontal="left" vertical="top"/>
    </xf>
    <xf numFmtId="3" fontId="21" fillId="0" borderId="0" xfId="3" applyNumberFormat="1" applyFont="1" applyBorder="1" applyAlignment="1">
      <alignment horizontal="left" vertical="top"/>
    </xf>
    <xf numFmtId="0" fontId="0" fillId="16" borderId="2" xfId="0" applyFill="1" applyBorder="1" applyAlignment="1">
      <alignment horizontal="center" vertical="top"/>
    </xf>
    <xf numFmtId="0" fontId="27" fillId="3" borderId="0" xfId="0" applyFont="1" applyFill="1" applyBorder="1" applyAlignment="1">
      <alignment vertical="top"/>
    </xf>
    <xf numFmtId="0" fontId="1" fillId="3" borderId="2" xfId="0" applyFont="1" applyFill="1" applyBorder="1" applyAlignment="1">
      <alignment horizontal="center" vertical="top" wrapText="1"/>
    </xf>
    <xf numFmtId="43" fontId="1" fillId="3" borderId="2" xfId="3" applyFont="1" applyFill="1" applyBorder="1" applyAlignment="1">
      <alignment horizontal="center" vertical="top" wrapText="1"/>
    </xf>
    <xf numFmtId="0" fontId="1" fillId="3" borderId="2" xfId="1" applyFont="1" applyFill="1" applyBorder="1" applyAlignment="1">
      <alignment vertical="top" wrapText="1"/>
    </xf>
    <xf numFmtId="43" fontId="24" fillId="0" borderId="0" xfId="0" applyNumberFormat="1" applyFont="1"/>
    <xf numFmtId="43" fontId="27" fillId="0" borderId="0" xfId="0" applyNumberFormat="1" applyFont="1"/>
    <xf numFmtId="43" fontId="1" fillId="3" borderId="0" xfId="3" applyNumberFormat="1" applyFont="1" applyFill="1" applyBorder="1" applyAlignment="1">
      <alignment horizontal="left" vertical="top"/>
    </xf>
    <xf numFmtId="0" fontId="3" fillId="0" borderId="7" xfId="0" applyNumberFormat="1" applyFont="1" applyBorder="1" applyAlignment="1">
      <alignment horizontal="center" vertical="top"/>
    </xf>
    <xf numFmtId="0" fontId="28" fillId="0" borderId="0" xfId="0" applyNumberFormat="1" applyFont="1" applyAlignment="1">
      <alignment vertical="top"/>
    </xf>
    <xf numFmtId="43" fontId="1" fillId="3" borderId="52" xfId="3" applyFont="1" applyFill="1" applyBorder="1" applyAlignment="1">
      <alignment vertical="top" wrapText="1"/>
    </xf>
    <xf numFmtId="43" fontId="1" fillId="3" borderId="57" xfId="3" applyFont="1" applyFill="1" applyBorder="1" applyAlignment="1">
      <alignment vertical="top" wrapText="1"/>
    </xf>
    <xf numFmtId="43" fontId="1" fillId="3" borderId="2" xfId="7" applyNumberFormat="1" applyFont="1" applyFill="1" applyBorder="1" applyAlignment="1">
      <alignment horizontal="left" vertical="top" wrapText="1"/>
    </xf>
    <xf numFmtId="43" fontId="1" fillId="3" borderId="2" xfId="10" applyNumberFormat="1" applyFont="1" applyFill="1" applyBorder="1" applyAlignment="1">
      <alignment horizontal="left" vertical="top" wrapText="1"/>
    </xf>
    <xf numFmtId="0" fontId="1" fillId="3" borderId="2" xfId="1" applyNumberFormat="1" applyFont="1" applyFill="1" applyBorder="1" applyAlignment="1">
      <alignment vertical="top" wrapText="1"/>
    </xf>
    <xf numFmtId="43" fontId="1" fillId="3" borderId="2" xfId="3" applyFont="1" applyFill="1" applyBorder="1" applyAlignment="1">
      <alignment vertical="top" wrapText="1"/>
    </xf>
    <xf numFmtId="43" fontId="1" fillId="3" borderId="2" xfId="3" applyFont="1" applyFill="1" applyBorder="1" applyAlignment="1">
      <alignment horizontal="left" vertical="top" wrapText="1"/>
    </xf>
    <xf numFmtId="0" fontId="1" fillId="3" borderId="2" xfId="3" applyNumberFormat="1" applyFont="1" applyFill="1" applyBorder="1" applyAlignment="1">
      <alignment horizontal="center" vertical="top" wrapText="1"/>
    </xf>
    <xf numFmtId="0" fontId="1" fillId="3" borderId="2" xfId="1" applyFont="1" applyFill="1" applyBorder="1" applyAlignment="1">
      <alignment horizontal="center" vertical="top" wrapText="1"/>
    </xf>
    <xf numFmtId="0" fontId="51" fillId="0" borderId="0" xfId="0" applyNumberFormat="1" applyFont="1" applyAlignment="1">
      <alignment horizontal="left" vertical="top"/>
    </xf>
    <xf numFmtId="0" fontId="1" fillId="3" borderId="2" xfId="1" applyNumberFormat="1" applyFont="1" applyFill="1" applyBorder="1" applyAlignment="1">
      <alignment horizontal="center" vertical="top" wrapText="1"/>
    </xf>
    <xf numFmtId="0" fontId="1" fillId="3" borderId="2" xfId="1" applyNumberFormat="1" applyFont="1" applyFill="1" applyBorder="1" applyAlignment="1">
      <alignment horizontal="right" vertical="top" wrapText="1"/>
    </xf>
    <xf numFmtId="43" fontId="1" fillId="3" borderId="2" xfId="1" applyNumberFormat="1" applyFont="1" applyFill="1" applyBorder="1" applyAlignment="1">
      <alignment vertical="top" wrapText="1"/>
    </xf>
    <xf numFmtId="0" fontId="1" fillId="3" borderId="2" xfId="10" applyFont="1" applyFill="1" applyBorder="1" applyAlignment="1">
      <alignment horizontal="left" vertical="top" wrapText="1"/>
    </xf>
    <xf numFmtId="0" fontId="1" fillId="0" borderId="4" xfId="0" applyFont="1" applyBorder="1" applyAlignment="1">
      <alignment horizontal="center" vertical="top"/>
    </xf>
    <xf numFmtId="0" fontId="27" fillId="0" borderId="0" xfId="0" applyFont="1" applyAlignment="1">
      <alignment vertical="top"/>
    </xf>
    <xf numFmtId="43" fontId="27" fillId="0" borderId="0" xfId="3" applyFont="1" applyAlignment="1">
      <alignment horizontal="center" vertical="top"/>
    </xf>
    <xf numFmtId="43" fontId="1" fillId="3" borderId="0" xfId="3" applyFont="1" applyFill="1" applyBorder="1" applyAlignment="1">
      <alignment horizontal="center" vertical="top"/>
    </xf>
    <xf numFmtId="43" fontId="0" fillId="0" borderId="12" xfId="0" applyNumberFormat="1" applyBorder="1"/>
    <xf numFmtId="0" fontId="0" fillId="0" borderId="43" xfId="0" applyBorder="1"/>
    <xf numFmtId="43" fontId="0" fillId="0" borderId="42" xfId="0" applyNumberFormat="1" applyBorder="1"/>
    <xf numFmtId="43" fontId="0" fillId="0" borderId="41" xfId="0" applyNumberFormat="1" applyBorder="1"/>
    <xf numFmtId="0" fontId="0" fillId="0" borderId="19" xfId="0" applyBorder="1" applyAlignment="1">
      <alignment horizontal="right"/>
    </xf>
    <xf numFmtId="0" fontId="0" fillId="7" borderId="43" xfId="0" applyFill="1" applyBorder="1"/>
    <xf numFmtId="43" fontId="0" fillId="7" borderId="42" xfId="0" applyNumberFormat="1" applyFill="1" applyBorder="1"/>
    <xf numFmtId="43" fontId="0" fillId="7" borderId="41" xfId="0" applyNumberFormat="1" applyFill="1" applyBorder="1"/>
    <xf numFmtId="0" fontId="28" fillId="18" borderId="16" xfId="0" applyNumberFormat="1" applyFont="1" applyFill="1" applyBorder="1" applyAlignment="1">
      <alignment horizontal="left" vertical="top"/>
    </xf>
    <xf numFmtId="0" fontId="27" fillId="18" borderId="17" xfId="0" applyFont="1" applyFill="1" applyBorder="1" applyAlignment="1">
      <alignment horizontal="center" vertical="top"/>
    </xf>
    <xf numFmtId="43" fontId="43" fillId="18" borderId="17" xfId="0" applyNumberFormat="1" applyFont="1" applyFill="1" applyBorder="1" applyAlignment="1">
      <alignment vertical="top"/>
    </xf>
    <xf numFmtId="0" fontId="52" fillId="18" borderId="18" xfId="0" applyNumberFormat="1" applyFont="1" applyFill="1" applyBorder="1" applyAlignment="1">
      <alignment horizontal="left" vertical="top"/>
    </xf>
    <xf numFmtId="0" fontId="28" fillId="18" borderId="21" xfId="0" applyNumberFormat="1" applyFont="1" applyFill="1" applyBorder="1" applyAlignment="1">
      <alignment horizontal="left" vertical="top"/>
    </xf>
    <xf numFmtId="0" fontId="27" fillId="18" borderId="22" xfId="0" applyFont="1" applyFill="1" applyBorder="1" applyAlignment="1">
      <alignment horizontal="center" vertical="top"/>
    </xf>
    <xf numFmtId="164" fontId="43" fillId="18" borderId="22" xfId="0" applyNumberFormat="1" applyFont="1" applyFill="1" applyBorder="1" applyAlignment="1">
      <alignment vertical="top"/>
    </xf>
    <xf numFmtId="0" fontId="52" fillId="18" borderId="23" xfId="0" applyNumberFormat="1" applyFont="1" applyFill="1" applyBorder="1" applyAlignment="1">
      <alignment horizontal="left" vertical="top"/>
    </xf>
    <xf numFmtId="0" fontId="37" fillId="0" borderId="0" xfId="0" applyFont="1" applyBorder="1" applyAlignment="1">
      <alignment vertical="center" wrapText="1"/>
    </xf>
    <xf numFmtId="43" fontId="0" fillId="0" borderId="12" xfId="0" applyNumberFormat="1" applyBorder="1" applyAlignment="1">
      <alignment horizontal="center"/>
    </xf>
    <xf numFmtId="0" fontId="0" fillId="0" borderId="53" xfId="0" applyBorder="1"/>
    <xf numFmtId="0" fontId="0" fillId="0" borderId="36" xfId="0" applyBorder="1" applyAlignment="1">
      <alignment horizontal="center"/>
    </xf>
    <xf numFmtId="43" fontId="0" fillId="0" borderId="54" xfId="0" applyNumberFormat="1" applyBorder="1" applyAlignment="1">
      <alignment horizontal="center"/>
    </xf>
    <xf numFmtId="43" fontId="0" fillId="0" borderId="55" xfId="0" applyNumberFormat="1" applyBorder="1"/>
    <xf numFmtId="43" fontId="0" fillId="0" borderId="55" xfId="0" applyNumberFormat="1" applyBorder="1" applyAlignment="1">
      <alignment horizontal="center"/>
    </xf>
    <xf numFmtId="43" fontId="0" fillId="0" borderId="8" xfId="0" applyNumberFormat="1" applyBorder="1" applyAlignment="1">
      <alignment horizontal="center"/>
    </xf>
    <xf numFmtId="0" fontId="0" fillId="0" borderId="6" xfId="0" quotePrefix="1" applyBorder="1"/>
    <xf numFmtId="0" fontId="26" fillId="20" borderId="58" xfId="0" applyFont="1" applyFill="1" applyBorder="1" applyAlignment="1">
      <alignment horizontal="center" vertical="top"/>
    </xf>
    <xf numFmtId="0" fontId="26" fillId="20" borderId="59" xfId="0" applyNumberFormat="1" applyFont="1" applyFill="1" applyBorder="1" applyAlignment="1">
      <alignment vertical="top"/>
    </xf>
    <xf numFmtId="0" fontId="24" fillId="0" borderId="58" xfId="0" applyFont="1" applyBorder="1" applyAlignment="1">
      <alignment horizontal="center" vertical="top"/>
    </xf>
    <xf numFmtId="0" fontId="24" fillId="0" borderId="59" xfId="0" applyNumberFormat="1" applyFont="1" applyBorder="1" applyAlignment="1">
      <alignment vertical="top"/>
    </xf>
    <xf numFmtId="0" fontId="24" fillId="0" borderId="60" xfId="0" applyFont="1" applyBorder="1" applyAlignment="1">
      <alignment horizontal="center" vertical="top"/>
    </xf>
    <xf numFmtId="0" fontId="24" fillId="0" borderId="61" xfId="0" applyNumberFormat="1" applyFont="1" applyBorder="1" applyAlignment="1">
      <alignment vertical="top"/>
    </xf>
    <xf numFmtId="0" fontId="36" fillId="13" borderId="2" xfId="0" applyFont="1" applyFill="1" applyBorder="1" applyAlignment="1">
      <alignment vertical="center"/>
    </xf>
    <xf numFmtId="43" fontId="53" fillId="13" borderId="2" xfId="0" applyNumberFormat="1" applyFont="1" applyFill="1" applyBorder="1" applyAlignment="1">
      <alignment horizontal="right" vertical="center"/>
    </xf>
    <xf numFmtId="2" fontId="36" fillId="13" borderId="2" xfId="0" applyNumberFormat="1" applyFont="1" applyFill="1" applyBorder="1" applyAlignment="1">
      <alignment horizontal="right" vertical="center"/>
    </xf>
    <xf numFmtId="4" fontId="36" fillId="13" borderId="2" xfId="0" applyNumberFormat="1" applyFont="1" applyFill="1" applyBorder="1" applyAlignment="1">
      <alignment horizontal="right" vertical="center"/>
    </xf>
    <xf numFmtId="0" fontId="47" fillId="0" borderId="0" xfId="0" applyFont="1"/>
    <xf numFmtId="43" fontId="22" fillId="15" borderId="39" xfId="0" applyNumberFormat="1" applyFont="1" applyFill="1" applyBorder="1"/>
    <xf numFmtId="43" fontId="21" fillId="0" borderId="13" xfId="3" applyFont="1" applyBorder="1" applyAlignment="1">
      <alignment horizontal="left" vertical="top"/>
    </xf>
    <xf numFmtId="43" fontId="21" fillId="21" borderId="12" xfId="3" applyFont="1" applyFill="1" applyBorder="1" applyAlignment="1">
      <alignment horizontal="left" vertical="top"/>
    </xf>
    <xf numFmtId="43" fontId="22" fillId="15" borderId="62" xfId="0" applyNumberFormat="1" applyFont="1" applyFill="1" applyBorder="1"/>
    <xf numFmtId="43" fontId="21" fillId="21" borderId="25" xfId="3" applyFont="1" applyFill="1" applyBorder="1" applyAlignment="1">
      <alignment horizontal="left" vertical="top"/>
    </xf>
    <xf numFmtId="43" fontId="22" fillId="15" borderId="63" xfId="0" applyNumberFormat="1" applyFont="1" applyFill="1" applyBorder="1"/>
    <xf numFmtId="0" fontId="30" fillId="22" borderId="26" xfId="0" applyFont="1" applyFill="1" applyBorder="1" applyAlignment="1">
      <alignment horizontal="center" vertical="center" wrapText="1"/>
    </xf>
    <xf numFmtId="0" fontId="30" fillId="22" borderId="26" xfId="0" applyFont="1" applyFill="1" applyBorder="1" applyAlignment="1">
      <alignment horizontal="center" vertical="center"/>
    </xf>
    <xf numFmtId="3" fontId="54" fillId="3" borderId="25" xfId="3" applyNumberFormat="1" applyFont="1" applyFill="1" applyBorder="1" applyAlignment="1">
      <alignment horizontal="right" vertical="center"/>
    </xf>
    <xf numFmtId="10" fontId="55" fillId="0" borderId="64" xfId="13" applyNumberFormat="1" applyFont="1" applyBorder="1" applyAlignment="1">
      <alignment horizontal="center" vertical="top"/>
    </xf>
    <xf numFmtId="4" fontId="55" fillId="0" borderId="65" xfId="0" applyNumberFormat="1" applyFont="1" applyBorder="1" applyAlignment="1">
      <alignment horizontal="right" vertical="top"/>
    </xf>
    <xf numFmtId="3" fontId="55" fillId="0" borderId="65" xfId="0" applyNumberFormat="1" applyFont="1" applyBorder="1" applyAlignment="1">
      <alignment horizontal="right" vertical="top"/>
    </xf>
    <xf numFmtId="0" fontId="55" fillId="0" borderId="66" xfId="0" applyFont="1" applyBorder="1" applyAlignment="1">
      <alignment horizontal="center" vertical="top"/>
    </xf>
    <xf numFmtId="0" fontId="55" fillId="0" borderId="67" xfId="0" applyFont="1" applyBorder="1" applyAlignment="1">
      <alignment vertical="top"/>
    </xf>
    <xf numFmtId="10" fontId="55" fillId="3" borderId="68" xfId="13" applyNumberFormat="1" applyFont="1" applyFill="1" applyBorder="1" applyAlignment="1">
      <alignment horizontal="center" vertical="center"/>
    </xf>
    <xf numFmtId="4" fontId="54" fillId="3" borderId="69" xfId="3" applyNumberFormat="1" applyFont="1" applyFill="1" applyBorder="1" applyAlignment="1">
      <alignment horizontal="right" vertical="center"/>
    </xf>
    <xf numFmtId="4" fontId="54" fillId="3" borderId="52" xfId="3" applyNumberFormat="1" applyFont="1" applyFill="1" applyBorder="1" applyAlignment="1">
      <alignment horizontal="right" vertical="center"/>
    </xf>
    <xf numFmtId="3" fontId="54" fillId="3" borderId="69" xfId="3" applyNumberFormat="1" applyFont="1" applyFill="1" applyBorder="1" applyAlignment="1">
      <alignment horizontal="right" vertical="center"/>
    </xf>
    <xf numFmtId="0" fontId="54" fillId="3" borderId="69" xfId="0" applyFont="1" applyFill="1" applyBorder="1" applyAlignment="1">
      <alignment horizontal="center" vertical="center"/>
    </xf>
    <xf numFmtId="0" fontId="54" fillId="3" borderId="70" xfId="0" applyFont="1" applyFill="1" applyBorder="1" applyAlignment="1">
      <alignment vertical="center" wrapText="1"/>
    </xf>
    <xf numFmtId="4" fontId="54" fillId="3" borderId="2" xfId="3" applyNumberFormat="1" applyFont="1" applyFill="1" applyBorder="1" applyAlignment="1">
      <alignment horizontal="right" vertical="center"/>
    </xf>
    <xf numFmtId="3" fontId="54" fillId="3" borderId="2" xfId="3" applyNumberFormat="1" applyFont="1" applyFill="1" applyBorder="1" applyAlignment="1">
      <alignment horizontal="right" vertical="center"/>
    </xf>
    <xf numFmtId="0" fontId="54" fillId="3" borderId="2" xfId="0" applyFont="1" applyFill="1" applyBorder="1" applyAlignment="1">
      <alignment horizontal="center" vertical="center"/>
    </xf>
    <xf numFmtId="0" fontId="54" fillId="3" borderId="5" xfId="0" applyFont="1" applyFill="1" applyBorder="1" applyAlignment="1">
      <alignment vertical="center" wrapText="1"/>
    </xf>
    <xf numFmtId="4" fontId="54" fillId="3" borderId="25" xfId="3" applyNumberFormat="1" applyFont="1" applyFill="1" applyBorder="1" applyAlignment="1">
      <alignment horizontal="right" vertical="center"/>
    </xf>
    <xf numFmtId="10" fontId="55" fillId="3" borderId="41" xfId="13" applyNumberFormat="1" applyFont="1" applyFill="1" applyBorder="1" applyAlignment="1">
      <alignment horizontal="center" vertical="center"/>
    </xf>
    <xf numFmtId="3" fontId="54" fillId="3" borderId="52" xfId="3" applyNumberFormat="1" applyFont="1" applyFill="1" applyBorder="1" applyAlignment="1">
      <alignment horizontal="right" vertical="center"/>
    </xf>
    <xf numFmtId="0" fontId="54" fillId="3" borderId="42" xfId="0" applyFont="1" applyFill="1" applyBorder="1" applyAlignment="1">
      <alignment horizontal="center" vertical="center"/>
    </xf>
    <xf numFmtId="0" fontId="54" fillId="3" borderId="43" xfId="0" applyFont="1" applyFill="1" applyBorder="1" applyAlignment="1">
      <alignment vertical="center" wrapText="1"/>
    </xf>
    <xf numFmtId="0" fontId="56" fillId="5" borderId="15" xfId="0" applyFont="1" applyFill="1" applyBorder="1" applyAlignment="1">
      <alignment horizontal="center" vertical="center" wrapText="1"/>
    </xf>
    <xf numFmtId="0" fontId="56" fillId="5" borderId="26" xfId="0" applyFont="1" applyFill="1" applyBorder="1" applyAlignment="1">
      <alignment horizontal="center" vertical="center" wrapText="1"/>
    </xf>
    <xf numFmtId="0" fontId="56" fillId="5" borderId="24" xfId="0" applyFont="1" applyFill="1" applyBorder="1" applyAlignment="1">
      <alignment horizontal="center" vertical="center" wrapText="1"/>
    </xf>
    <xf numFmtId="0" fontId="56" fillId="5" borderId="14" xfId="0" applyFont="1" applyFill="1" applyBorder="1" applyAlignment="1">
      <alignment horizontal="center" vertical="center" wrapText="1"/>
    </xf>
    <xf numFmtId="43" fontId="22" fillId="0" borderId="0" xfId="3" applyFont="1" applyBorder="1"/>
    <xf numFmtId="43" fontId="15" fillId="3" borderId="0" xfId="3" applyFont="1" applyFill="1" applyBorder="1" applyAlignment="1">
      <alignment horizontal="center" vertical="top" wrapText="1"/>
    </xf>
    <xf numFmtId="0" fontId="47" fillId="0" borderId="0" xfId="0" applyFont="1" applyBorder="1"/>
    <xf numFmtId="43" fontId="15" fillId="3" borderId="2" xfId="3" applyFont="1" applyFill="1" applyBorder="1" applyAlignment="1">
      <alignment horizontal="center" vertical="top" wrapText="1"/>
    </xf>
    <xf numFmtId="0" fontId="22" fillId="16" borderId="2" xfId="0" applyFont="1" applyFill="1" applyBorder="1" applyAlignment="1">
      <alignment vertical="top"/>
    </xf>
    <xf numFmtId="43" fontId="21" fillId="8" borderId="0" xfId="3" applyFont="1" applyFill="1"/>
    <xf numFmtId="0" fontId="22" fillId="8" borderId="0" xfId="0" applyFont="1" applyFill="1"/>
    <xf numFmtId="0" fontId="42" fillId="8" borderId="0" xfId="0" applyFont="1" applyFill="1"/>
    <xf numFmtId="0" fontId="15" fillId="3" borderId="2" xfId="1" applyFont="1" applyFill="1" applyBorder="1" applyAlignment="1">
      <alignment horizontal="center" vertical="top" wrapText="1"/>
    </xf>
    <xf numFmtId="0" fontId="15" fillId="3" borderId="2" xfId="1" applyFont="1" applyFill="1" applyBorder="1" applyAlignment="1">
      <alignment horizontal="left" vertical="top" wrapText="1"/>
    </xf>
    <xf numFmtId="0" fontId="15" fillId="3" borderId="2" xfId="1" applyNumberFormat="1" applyFont="1" applyFill="1" applyBorder="1" applyAlignment="1">
      <alignment horizontal="center" vertical="top" wrapText="1"/>
    </xf>
    <xf numFmtId="0" fontId="15" fillId="3" borderId="2" xfId="0" applyFont="1" applyFill="1" applyBorder="1" applyAlignment="1">
      <alignment horizontal="center" vertical="top" wrapText="1"/>
    </xf>
    <xf numFmtId="43" fontId="15" fillId="3" borderId="2" xfId="5" applyFont="1" applyFill="1" applyBorder="1" applyAlignment="1">
      <alignment horizontal="center" vertical="top" wrapText="1"/>
    </xf>
    <xf numFmtId="4" fontId="15" fillId="3" borderId="2" xfId="10" applyNumberFormat="1" applyFont="1" applyFill="1" applyBorder="1" applyAlignment="1">
      <alignment horizontal="center" vertical="top" wrapText="1"/>
    </xf>
    <xf numFmtId="0" fontId="15" fillId="3" borderId="2" xfId="10" applyFont="1" applyFill="1" applyBorder="1" applyAlignment="1">
      <alignment horizontal="center" vertical="top" wrapText="1"/>
    </xf>
    <xf numFmtId="43" fontId="15" fillId="3" borderId="2" xfId="0" applyNumberFormat="1" applyFont="1" applyFill="1" applyBorder="1" applyAlignment="1">
      <alignment horizontal="center" vertical="top" wrapText="1"/>
    </xf>
    <xf numFmtId="0" fontId="15" fillId="3" borderId="2" xfId="0" applyFont="1" applyFill="1" applyBorder="1" applyAlignment="1">
      <alignment horizontal="left" vertical="center" wrapText="1" indent="1"/>
    </xf>
    <xf numFmtId="0" fontId="15" fillId="3" borderId="2" xfId="10" applyFont="1" applyFill="1" applyBorder="1" applyAlignment="1">
      <alignment vertical="top" wrapText="1"/>
    </xf>
    <xf numFmtId="0" fontId="15" fillId="8" borderId="0" xfId="1" applyFont="1" applyFill="1" applyBorder="1" applyAlignment="1">
      <alignment horizontal="center" vertical="top" wrapText="1"/>
    </xf>
    <xf numFmtId="0" fontId="15" fillId="8" borderId="0" xfId="0" applyFont="1" applyFill="1" applyBorder="1" applyAlignment="1">
      <alignment horizontal="center" vertical="top" wrapText="1"/>
    </xf>
    <xf numFmtId="0" fontId="15" fillId="8" borderId="0" xfId="5" applyNumberFormat="1" applyFont="1" applyFill="1" applyBorder="1" applyAlignment="1">
      <alignment horizontal="center" vertical="top" wrapText="1"/>
    </xf>
    <xf numFmtId="43" fontId="15" fillId="8" borderId="0" xfId="5" applyFont="1" applyFill="1" applyBorder="1" applyAlignment="1">
      <alignment horizontal="center" vertical="top" wrapText="1"/>
    </xf>
    <xf numFmtId="4" fontId="15" fillId="8" borderId="0" xfId="10" applyNumberFormat="1" applyFont="1" applyFill="1" applyBorder="1" applyAlignment="1">
      <alignment horizontal="center" vertical="top" wrapText="1"/>
    </xf>
    <xf numFmtId="0" fontId="15" fillId="8" borderId="0" xfId="10" applyFont="1" applyFill="1" applyBorder="1" applyAlignment="1">
      <alignment horizontal="center" vertical="top" wrapText="1"/>
    </xf>
    <xf numFmtId="43" fontId="15" fillId="8" borderId="0" xfId="0" applyNumberFormat="1" applyFont="1" applyFill="1" applyBorder="1" applyAlignment="1">
      <alignment horizontal="center" vertical="top" wrapText="1"/>
    </xf>
    <xf numFmtId="0" fontId="15" fillId="8" borderId="0" xfId="0" applyFont="1" applyFill="1" applyBorder="1" applyAlignment="1">
      <alignment horizontal="left" vertical="center" wrapText="1" indent="1"/>
    </xf>
    <xf numFmtId="0" fontId="15" fillId="8" borderId="0" xfId="10" applyFont="1" applyFill="1" applyBorder="1" applyAlignment="1">
      <alignment vertical="top" wrapText="1"/>
    </xf>
    <xf numFmtId="0" fontId="15" fillId="8" borderId="0" xfId="12" applyFont="1" applyFill="1" applyBorder="1" applyAlignment="1">
      <alignment horizontal="center" vertical="top" wrapText="1"/>
    </xf>
    <xf numFmtId="0" fontId="22" fillId="8" borderId="57" xfId="0" applyFont="1" applyFill="1" applyBorder="1" applyAlignment="1">
      <alignment vertical="top"/>
    </xf>
    <xf numFmtId="0" fontId="15" fillId="3" borderId="0" xfId="0" applyFont="1" applyFill="1" applyBorder="1" applyAlignment="1">
      <alignment horizontal="center" vertical="top" wrapText="1"/>
    </xf>
    <xf numFmtId="0" fontId="22" fillId="3" borderId="71" xfId="0" applyFont="1" applyFill="1" applyBorder="1" applyAlignment="1">
      <alignment vertical="top"/>
    </xf>
    <xf numFmtId="43" fontId="15" fillId="3" borderId="2" xfId="3" applyFont="1" applyFill="1" applyBorder="1" applyAlignment="1">
      <alignment vertical="top" wrapText="1"/>
    </xf>
    <xf numFmtId="43" fontId="15" fillId="3" borderId="2" xfId="10" applyNumberFormat="1" applyFont="1" applyFill="1" applyBorder="1" applyAlignment="1">
      <alignment horizontal="right" vertical="top" wrapText="1"/>
    </xf>
    <xf numFmtId="43" fontId="15" fillId="3" borderId="2" xfId="10" applyNumberFormat="1" applyFont="1" applyFill="1" applyBorder="1" applyAlignment="1">
      <alignment horizontal="left" vertical="top" wrapText="1"/>
    </xf>
    <xf numFmtId="43" fontId="15" fillId="3" borderId="2" xfId="7" applyFont="1" applyFill="1" applyBorder="1" applyAlignment="1">
      <alignment horizontal="left" vertical="top" wrapText="1"/>
    </xf>
    <xf numFmtId="43" fontId="15" fillId="3" borderId="2" xfId="7" applyNumberFormat="1" applyFont="1" applyFill="1" applyBorder="1" applyAlignment="1">
      <alignment horizontal="left" vertical="top" wrapText="1"/>
    </xf>
    <xf numFmtId="43" fontId="15" fillId="3" borderId="2" xfId="3" applyNumberFormat="1" applyFont="1" applyFill="1" applyBorder="1" applyAlignment="1">
      <alignment vertical="top" wrapText="1"/>
    </xf>
    <xf numFmtId="0" fontId="16" fillId="3" borderId="2" xfId="10" applyNumberFormat="1" applyFont="1" applyFill="1" applyBorder="1" applyAlignment="1">
      <alignment vertical="top" wrapText="1"/>
    </xf>
    <xf numFmtId="0" fontId="16" fillId="3" borderId="2" xfId="0" applyNumberFormat="1" applyFont="1" applyFill="1" applyBorder="1" applyAlignment="1">
      <alignment horizontal="left" vertical="top" wrapText="1"/>
    </xf>
    <xf numFmtId="0" fontId="16" fillId="3" borderId="2" xfId="0" quotePrefix="1" applyNumberFormat="1" applyFont="1" applyFill="1" applyBorder="1" applyAlignment="1">
      <alignment horizontal="left" vertical="top" wrapText="1"/>
    </xf>
    <xf numFmtId="0" fontId="16" fillId="3" borderId="2" xfId="1" applyNumberFormat="1" applyFont="1" applyFill="1" applyBorder="1" applyAlignment="1">
      <alignment vertical="top" wrapText="1"/>
    </xf>
    <xf numFmtId="0" fontId="16" fillId="3" borderId="2" xfId="10" applyNumberFormat="1" applyFont="1" applyFill="1" applyBorder="1" applyAlignment="1">
      <alignment horizontal="left" vertical="top" wrapText="1"/>
    </xf>
    <xf numFmtId="0" fontId="16" fillId="3" borderId="2" xfId="0" applyNumberFormat="1" applyFont="1" applyFill="1" applyBorder="1" applyAlignment="1">
      <alignment vertical="top" wrapText="1"/>
    </xf>
    <xf numFmtId="0" fontId="0" fillId="0" borderId="0" xfId="0" applyFont="1" applyAlignment="1">
      <alignment horizontal="center"/>
    </xf>
    <xf numFmtId="0" fontId="16" fillId="3" borderId="2" xfId="1" applyNumberFormat="1" applyFont="1" applyFill="1" applyBorder="1" applyAlignment="1">
      <alignment horizontal="left" vertical="top" wrapText="1" indent="2"/>
    </xf>
    <xf numFmtId="0" fontId="22" fillId="16" borderId="2" xfId="0" applyFont="1" applyFill="1" applyBorder="1"/>
    <xf numFmtId="43" fontId="22" fillId="15" borderId="28" xfId="0" applyNumberFormat="1" applyFont="1" applyFill="1" applyBorder="1" applyAlignment="1">
      <alignment horizontal="left" vertical="top"/>
    </xf>
    <xf numFmtId="4" fontId="54" fillId="15" borderId="52" xfId="3" applyNumberFormat="1" applyFont="1" applyFill="1" applyBorder="1" applyAlignment="1">
      <alignment horizontal="right" vertical="center"/>
    </xf>
    <xf numFmtId="4" fontId="54" fillId="15" borderId="25" xfId="3" applyNumberFormat="1" applyFont="1" applyFill="1" applyBorder="1" applyAlignment="1">
      <alignment horizontal="right" vertical="center"/>
    </xf>
    <xf numFmtId="4" fontId="54" fillId="15" borderId="2" xfId="3" applyNumberFormat="1" applyFont="1" applyFill="1" applyBorder="1" applyAlignment="1">
      <alignment horizontal="right" vertical="center"/>
    </xf>
    <xf numFmtId="4" fontId="54" fillId="15" borderId="69" xfId="3" applyNumberFormat="1" applyFont="1" applyFill="1" applyBorder="1" applyAlignment="1">
      <alignment horizontal="right" vertical="center"/>
    </xf>
    <xf numFmtId="43" fontId="56" fillId="5" borderId="26" xfId="3" applyFont="1" applyFill="1" applyBorder="1" applyAlignment="1">
      <alignment horizontal="center" vertical="center" wrapText="1"/>
    </xf>
    <xf numFmtId="4" fontId="56" fillId="5" borderId="26" xfId="0" applyNumberFormat="1" applyFont="1" applyFill="1" applyBorder="1" applyAlignment="1">
      <alignment horizontal="center" vertical="center" wrapText="1"/>
    </xf>
    <xf numFmtId="0" fontId="56" fillId="5" borderId="16" xfId="0" applyFont="1" applyFill="1" applyBorder="1" applyAlignment="1">
      <alignment horizontal="center" vertical="center" wrapText="1"/>
    </xf>
    <xf numFmtId="4" fontId="54" fillId="3" borderId="44" xfId="3" applyNumberFormat="1" applyFont="1" applyFill="1" applyBorder="1" applyAlignment="1">
      <alignment horizontal="right" vertical="center"/>
    </xf>
    <xf numFmtId="10" fontId="54" fillId="3" borderId="41" xfId="13" applyNumberFormat="1" applyFont="1" applyFill="1" applyBorder="1" applyAlignment="1">
      <alignment horizontal="right" vertical="center"/>
    </xf>
    <xf numFmtId="10" fontId="54" fillId="3" borderId="8" xfId="13" applyNumberFormat="1" applyFont="1" applyFill="1" applyBorder="1" applyAlignment="1">
      <alignment horizontal="right" vertical="center"/>
    </xf>
    <xf numFmtId="4" fontId="54" fillId="3" borderId="70" xfId="3" applyNumberFormat="1" applyFont="1" applyFill="1" applyBorder="1" applyAlignment="1">
      <alignment horizontal="right" vertical="center"/>
    </xf>
    <xf numFmtId="10" fontId="54" fillId="3" borderId="68" xfId="13" applyNumberFormat="1" applyFont="1" applyFill="1" applyBorder="1" applyAlignment="1">
      <alignment horizontal="right" vertical="center"/>
    </xf>
    <xf numFmtId="4" fontId="55" fillId="0" borderId="72" xfId="0" applyNumberFormat="1" applyFont="1" applyBorder="1" applyAlignment="1">
      <alignment horizontal="right" vertical="top"/>
    </xf>
    <xf numFmtId="4" fontId="55" fillId="0" borderId="64" xfId="0" applyNumberFormat="1" applyFont="1" applyBorder="1" applyAlignment="1">
      <alignment horizontal="right" vertical="top"/>
    </xf>
    <xf numFmtId="0" fontId="0" fillId="19" borderId="0" xfId="0" applyFill="1"/>
    <xf numFmtId="0" fontId="47" fillId="19" borderId="0" xfId="0" applyFont="1" applyFill="1"/>
    <xf numFmtId="0" fontId="31" fillId="19" borderId="0" xfId="0" applyFont="1" applyFill="1"/>
    <xf numFmtId="0" fontId="30" fillId="23" borderId="15" xfId="0" applyFont="1" applyFill="1" applyBorder="1" applyAlignment="1">
      <alignment horizontal="center" vertical="center" wrapText="1"/>
    </xf>
    <xf numFmtId="0" fontId="0" fillId="16" borderId="33" xfId="0" applyFill="1" applyBorder="1" applyAlignment="1"/>
    <xf numFmtId="0" fontId="0" fillId="16" borderId="73" xfId="0" applyFill="1" applyBorder="1" applyAlignment="1"/>
    <xf numFmtId="43" fontId="0" fillId="7" borderId="25" xfId="0" applyNumberFormat="1" applyFill="1" applyBorder="1"/>
    <xf numFmtId="0" fontId="30" fillId="23" borderId="63" xfId="0" applyFont="1" applyFill="1" applyBorder="1" applyAlignment="1">
      <alignment horizontal="center" vertical="center" wrapText="1"/>
    </xf>
    <xf numFmtId="43" fontId="0" fillId="7" borderId="74" xfId="0" applyNumberFormat="1" applyFill="1" applyBorder="1"/>
    <xf numFmtId="43" fontId="0" fillId="0" borderId="74" xfId="0" applyNumberFormat="1" applyBorder="1"/>
    <xf numFmtId="43" fontId="0" fillId="0" borderId="75" xfId="0" applyNumberFormat="1" applyBorder="1"/>
    <xf numFmtId="0" fontId="39" fillId="3" borderId="36" xfId="0" applyFont="1" applyFill="1" applyBorder="1" applyAlignment="1">
      <alignment vertical="center"/>
    </xf>
    <xf numFmtId="3" fontId="39" fillId="3" borderId="2" xfId="0" applyNumberFormat="1" applyFont="1" applyFill="1" applyBorder="1" applyAlignment="1">
      <alignment horizontal="right" vertical="center"/>
    </xf>
    <xf numFmtId="0" fontId="39" fillId="0" borderId="36" xfId="0" applyFont="1" applyBorder="1" applyAlignment="1">
      <alignment horizontal="left" vertical="center" indent="2"/>
    </xf>
    <xf numFmtId="43" fontId="57" fillId="0" borderId="36" xfId="0" applyNumberFormat="1" applyFont="1" applyBorder="1" applyAlignment="1">
      <alignment horizontal="right" vertical="center"/>
    </xf>
    <xf numFmtId="43" fontId="39" fillId="0" borderId="36" xfId="0" applyNumberFormat="1" applyFont="1" applyBorder="1" applyAlignment="1">
      <alignment horizontal="right" vertical="center"/>
    </xf>
    <xf numFmtId="43" fontId="39" fillId="12" borderId="36" xfId="0" applyNumberFormat="1" applyFont="1" applyFill="1" applyBorder="1" applyAlignment="1">
      <alignment horizontal="right" vertical="center"/>
    </xf>
    <xf numFmtId="0" fontId="36" fillId="0" borderId="76" xfId="0" applyFont="1" applyBorder="1" applyAlignment="1">
      <alignment vertical="center" wrapText="1"/>
    </xf>
    <xf numFmtId="0" fontId="39" fillId="3" borderId="76" xfId="0" applyFont="1" applyFill="1" applyBorder="1" applyAlignment="1">
      <alignment vertical="center"/>
    </xf>
    <xf numFmtId="3" fontId="39" fillId="3" borderId="36" xfId="0" applyNumberFormat="1" applyFont="1" applyFill="1" applyBorder="1" applyAlignment="1">
      <alignment horizontal="right" vertical="center"/>
    </xf>
    <xf numFmtId="0" fontId="39" fillId="13" borderId="77" xfId="0" applyFont="1" applyFill="1" applyBorder="1" applyAlignment="1">
      <alignment vertical="center"/>
    </xf>
    <xf numFmtId="4" fontId="39" fillId="13" borderId="69" xfId="0" applyNumberFormat="1" applyFont="1" applyFill="1" applyBorder="1" applyAlignment="1">
      <alignment horizontal="right" vertical="center"/>
    </xf>
    <xf numFmtId="0" fontId="39" fillId="3" borderId="78" xfId="0" applyFont="1" applyFill="1" applyBorder="1" applyAlignment="1">
      <alignment vertical="center"/>
    </xf>
    <xf numFmtId="165" fontId="39" fillId="3" borderId="78" xfId="13" applyNumberFormat="1" applyFont="1" applyFill="1" applyBorder="1" applyAlignment="1">
      <alignment horizontal="right" vertical="center"/>
    </xf>
    <xf numFmtId="9" fontId="39" fillId="3" borderId="78" xfId="13" applyFont="1" applyFill="1" applyBorder="1" applyAlignment="1">
      <alignment horizontal="right" vertical="center"/>
    </xf>
    <xf numFmtId="1" fontId="39" fillId="13" borderId="2" xfId="0" applyNumberFormat="1" applyFont="1" applyFill="1" applyBorder="1" applyAlignment="1">
      <alignment horizontal="right" vertical="center"/>
    </xf>
    <xf numFmtId="1" fontId="39" fillId="13" borderId="69" xfId="0" applyNumberFormat="1" applyFont="1" applyFill="1" applyBorder="1" applyAlignment="1">
      <alignment horizontal="right" vertical="center"/>
    </xf>
    <xf numFmtId="43" fontId="36" fillId="0" borderId="42" xfId="0" applyNumberFormat="1" applyFont="1" applyBorder="1" applyAlignment="1">
      <alignment vertical="top"/>
    </xf>
    <xf numFmtId="43" fontId="36" fillId="0" borderId="2" xfId="0" applyNumberFormat="1" applyFont="1" applyBorder="1" applyAlignment="1">
      <alignment vertical="top"/>
    </xf>
    <xf numFmtId="0" fontId="58" fillId="0" borderId="42" xfId="0" applyFont="1" applyBorder="1" applyAlignment="1">
      <alignment vertical="center"/>
    </xf>
    <xf numFmtId="43" fontId="36" fillId="0" borderId="42" xfId="0" applyNumberFormat="1" applyFont="1" applyBorder="1" applyAlignment="1">
      <alignment horizontal="center" vertical="top"/>
    </xf>
    <xf numFmtId="43" fontId="36" fillId="0" borderId="2" xfId="0" applyNumberFormat="1" applyFont="1" applyBorder="1" applyAlignment="1">
      <alignment horizontal="center" vertical="top"/>
    </xf>
    <xf numFmtId="0" fontId="1" fillId="3" borderId="5" xfId="10" applyFont="1" applyFill="1" applyBorder="1" applyAlignment="1">
      <alignment horizontal="left" vertical="top" wrapText="1"/>
    </xf>
    <xf numFmtId="4" fontId="1" fillId="3" borderId="2" xfId="10" applyNumberFormat="1" applyFont="1" applyFill="1" applyBorder="1" applyAlignment="1">
      <alignment horizontal="right" vertical="top"/>
    </xf>
    <xf numFmtId="0" fontId="59" fillId="3" borderId="5" xfId="0" applyFont="1" applyFill="1" applyBorder="1"/>
    <xf numFmtId="0" fontId="59" fillId="3" borderId="2" xfId="0" applyFont="1" applyFill="1" applyBorder="1" applyAlignment="1">
      <alignment horizontal="center"/>
    </xf>
    <xf numFmtId="43" fontId="59" fillId="3" borderId="25" xfId="0" applyNumberFormat="1" applyFont="1" applyFill="1" applyBorder="1" applyAlignment="1">
      <alignment horizontal="center"/>
    </xf>
    <xf numFmtId="43" fontId="59" fillId="3" borderId="8" xfId="0" applyNumberFormat="1" applyFont="1" applyFill="1" applyBorder="1"/>
    <xf numFmtId="0" fontId="16" fillId="9" borderId="2" xfId="1" applyNumberFormat="1" applyFont="1" applyFill="1" applyBorder="1" applyAlignment="1">
      <alignment vertical="top" wrapText="1"/>
    </xf>
    <xf numFmtId="0" fontId="16" fillId="24" borderId="2" xfId="1" applyNumberFormat="1" applyFont="1" applyFill="1" applyBorder="1" applyAlignment="1">
      <alignment vertical="top" wrapText="1"/>
    </xf>
    <xf numFmtId="0" fontId="16" fillId="24" borderId="2" xfId="10" applyNumberFormat="1" applyFont="1" applyFill="1" applyBorder="1" applyAlignment="1">
      <alignment vertical="top" wrapText="1"/>
    </xf>
    <xf numFmtId="43" fontId="21" fillId="3" borderId="0" xfId="3" applyFont="1" applyFill="1"/>
    <xf numFmtId="0" fontId="16" fillId="24" borderId="69" xfId="10" applyNumberFormat="1" applyFont="1" applyFill="1" applyBorder="1" applyAlignment="1">
      <alignment vertical="top" wrapText="1"/>
    </xf>
    <xf numFmtId="43" fontId="15" fillId="3" borderId="69" xfId="3" applyFont="1" applyFill="1" applyBorder="1" applyAlignment="1">
      <alignment horizontal="center" vertical="top" wrapText="1"/>
    </xf>
    <xf numFmtId="0" fontId="15" fillId="3" borderId="69" xfId="0" applyFont="1" applyFill="1" applyBorder="1" applyAlignment="1">
      <alignment horizontal="center" vertical="top" wrapText="1"/>
    </xf>
    <xf numFmtId="0" fontId="16" fillId="3" borderId="42" xfId="10" applyNumberFormat="1" applyFont="1" applyFill="1" applyBorder="1" applyAlignment="1">
      <alignment vertical="top" wrapText="1"/>
    </xf>
    <xf numFmtId="43" fontId="15" fillId="3" borderId="42" xfId="3" applyFont="1" applyFill="1" applyBorder="1" applyAlignment="1">
      <alignment horizontal="center" vertical="top" wrapText="1"/>
    </xf>
    <xf numFmtId="4" fontId="15" fillId="3" borderId="42" xfId="10" applyNumberFormat="1" applyFont="1" applyFill="1" applyBorder="1" applyAlignment="1">
      <alignment horizontal="center" vertical="top" wrapText="1"/>
    </xf>
    <xf numFmtId="0" fontId="22" fillId="16" borderId="25" xfId="0" applyFont="1" applyFill="1" applyBorder="1" applyAlignment="1">
      <alignment vertical="top"/>
    </xf>
    <xf numFmtId="0" fontId="0" fillId="7" borderId="9" xfId="0" applyFill="1" applyBorder="1" applyAlignment="1">
      <alignment vertical="top"/>
    </xf>
    <xf numFmtId="0" fontId="0" fillId="7" borderId="1" xfId="0" applyFill="1" applyBorder="1" applyAlignment="1">
      <alignment horizontal="center" vertical="top"/>
    </xf>
    <xf numFmtId="43" fontId="21" fillId="7" borderId="10" xfId="3" applyFont="1" applyFill="1" applyBorder="1" applyAlignment="1">
      <alignment horizontal="left" vertical="top"/>
    </xf>
    <xf numFmtId="43" fontId="21" fillId="7" borderId="1" xfId="3" applyFont="1" applyFill="1" applyBorder="1" applyAlignment="1">
      <alignment horizontal="left" vertical="top"/>
    </xf>
    <xf numFmtId="43" fontId="21" fillId="0" borderId="3" xfId="3" applyFont="1" applyBorder="1" applyAlignment="1">
      <alignment horizontal="left" vertical="top"/>
    </xf>
    <xf numFmtId="43" fontId="21" fillId="15" borderId="2" xfId="3" applyFont="1" applyFill="1" applyBorder="1" applyAlignment="1">
      <alignment horizontal="left" vertical="top"/>
    </xf>
    <xf numFmtId="43" fontId="21" fillId="0" borderId="25" xfId="3" applyNumberFormat="1" applyFont="1" applyBorder="1" applyAlignment="1">
      <alignment horizontal="left" vertical="top"/>
    </xf>
    <xf numFmtId="0" fontId="40" fillId="0" borderId="0" xfId="0" applyFont="1"/>
    <xf numFmtId="43" fontId="0" fillId="15" borderId="34" xfId="0" applyNumberFormat="1" applyFill="1" applyBorder="1" applyAlignment="1">
      <alignment vertical="center"/>
    </xf>
    <xf numFmtId="0" fontId="22" fillId="25" borderId="33" xfId="0" applyFont="1" applyFill="1" applyBorder="1" applyAlignment="1">
      <alignment horizontal="center" vertical="center" wrapText="1"/>
    </xf>
    <xf numFmtId="0" fontId="22" fillId="16" borderId="2" xfId="0" applyFont="1" applyFill="1" applyBorder="1" applyAlignment="1">
      <alignment horizontal="center"/>
    </xf>
    <xf numFmtId="0" fontId="22" fillId="15" borderId="2" xfId="0" applyFont="1" applyFill="1" applyBorder="1" applyAlignment="1">
      <alignment horizontal="center"/>
    </xf>
    <xf numFmtId="0" fontId="16" fillId="24" borderId="29" xfId="1" applyNumberFormat="1" applyFont="1" applyFill="1" applyBorder="1" applyAlignment="1">
      <alignment vertical="top" wrapText="1"/>
    </xf>
    <xf numFmtId="43" fontId="15" fillId="3" borderId="29" xfId="3" applyNumberFormat="1" applyFont="1" applyFill="1" applyBorder="1" applyAlignment="1">
      <alignment vertical="top" wrapText="1"/>
    </xf>
    <xf numFmtId="43" fontId="15" fillId="3" borderId="29" xfId="10" applyNumberFormat="1" applyFont="1" applyFill="1" applyBorder="1" applyAlignment="1">
      <alignment horizontal="right" vertical="top" wrapText="1"/>
    </xf>
    <xf numFmtId="0" fontId="15" fillId="3" borderId="29" xfId="0" applyFont="1" applyFill="1" applyBorder="1" applyAlignment="1">
      <alignment horizontal="center" vertical="top" wrapText="1"/>
    </xf>
    <xf numFmtId="1" fontId="15" fillId="3" borderId="2" xfId="3" applyNumberFormat="1" applyFont="1" applyFill="1" applyBorder="1" applyAlignment="1">
      <alignment horizontal="center" vertical="top" wrapText="1"/>
    </xf>
    <xf numFmtId="1" fontId="15" fillId="3" borderId="2" xfId="3" applyNumberFormat="1" applyFont="1" applyFill="1" applyBorder="1" applyAlignment="1">
      <alignment horizontal="left" vertical="center" wrapText="1" indent="1"/>
    </xf>
    <xf numFmtId="1" fontId="15" fillId="3" borderId="2" xfId="3" applyNumberFormat="1" applyFont="1" applyFill="1" applyBorder="1" applyAlignment="1">
      <alignment vertical="top" wrapText="1"/>
    </xf>
    <xf numFmtId="0" fontId="15" fillId="3" borderId="36" xfId="10" applyFont="1" applyFill="1" applyBorder="1" applyAlignment="1">
      <alignment horizontal="center" vertical="top" wrapText="1"/>
    </xf>
    <xf numFmtId="4" fontId="15" fillId="3" borderId="36" xfId="10" applyNumberFormat="1" applyFont="1" applyFill="1" applyBorder="1" applyAlignment="1">
      <alignment horizontal="center" vertical="top" wrapText="1"/>
    </xf>
    <xf numFmtId="0" fontId="15" fillId="3" borderId="36" xfId="1" applyFont="1" applyFill="1" applyBorder="1" applyAlignment="1">
      <alignment horizontal="center" vertical="top" wrapText="1"/>
    </xf>
    <xf numFmtId="0" fontId="15" fillId="3" borderId="36" xfId="0" applyFont="1" applyFill="1" applyBorder="1" applyAlignment="1">
      <alignment horizontal="center" vertical="top" wrapText="1"/>
    </xf>
    <xf numFmtId="0" fontId="15" fillId="3" borderId="36" xfId="5" applyNumberFormat="1" applyFont="1" applyFill="1" applyBorder="1" applyAlignment="1">
      <alignment horizontal="center" vertical="top" wrapText="1"/>
    </xf>
    <xf numFmtId="43" fontId="15" fillId="3" borderId="36" xfId="0" applyNumberFormat="1" applyFont="1" applyFill="1" applyBorder="1" applyAlignment="1">
      <alignment horizontal="center" vertical="top" wrapText="1"/>
    </xf>
    <xf numFmtId="0" fontId="15" fillId="3" borderId="36" xfId="0" applyFont="1" applyFill="1" applyBorder="1" applyAlignment="1">
      <alignment horizontal="left" vertical="center" wrapText="1" indent="1"/>
    </xf>
    <xf numFmtId="43" fontId="15" fillId="3" borderId="36" xfId="5" applyFont="1" applyFill="1" applyBorder="1" applyAlignment="1">
      <alignment horizontal="center" vertical="top" wrapText="1"/>
    </xf>
    <xf numFmtId="0" fontId="15" fillId="3" borderId="36" xfId="12" applyFont="1" applyFill="1" applyBorder="1" applyAlignment="1">
      <alignment horizontal="center" vertical="top" wrapText="1"/>
    </xf>
    <xf numFmtId="0" fontId="15" fillId="3" borderId="36" xfId="10" applyFont="1" applyFill="1" applyBorder="1" applyAlignment="1">
      <alignment vertical="top" wrapText="1"/>
    </xf>
    <xf numFmtId="0" fontId="15" fillId="3" borderId="79" xfId="10" applyFont="1" applyFill="1" applyBorder="1" applyAlignment="1">
      <alignment vertical="top" wrapText="1"/>
    </xf>
    <xf numFmtId="1" fontId="19" fillId="3" borderId="2" xfId="1" applyNumberFormat="1" applyFont="1" applyFill="1" applyBorder="1" applyAlignment="1">
      <alignment horizontal="center" vertical="top" wrapText="1"/>
    </xf>
    <xf numFmtId="0" fontId="22" fillId="16" borderId="25" xfId="0" applyFont="1" applyFill="1" applyBorder="1" applyAlignment="1">
      <alignment horizontal="left" vertical="top"/>
    </xf>
    <xf numFmtId="0" fontId="42" fillId="8" borderId="0" xfId="0" applyFont="1" applyFill="1" applyAlignment="1">
      <alignment horizontal="left"/>
    </xf>
    <xf numFmtId="0" fontId="22" fillId="26" borderId="0" xfId="0" applyFont="1" applyFill="1"/>
    <xf numFmtId="0" fontId="22" fillId="27" borderId="0" xfId="0" applyFont="1" applyFill="1"/>
    <xf numFmtId="0" fontId="35" fillId="0" borderId="0" xfId="0" applyFont="1" applyFill="1" applyBorder="1"/>
    <xf numFmtId="0" fontId="22" fillId="16" borderId="0" xfId="0" applyFont="1" applyFill="1" applyBorder="1" applyAlignment="1">
      <alignment vertical="top"/>
    </xf>
    <xf numFmtId="0" fontId="46" fillId="0" borderId="2" xfId="0" applyFont="1" applyBorder="1"/>
    <xf numFmtId="10" fontId="21" fillId="15" borderId="2" xfId="13" applyNumberFormat="1" applyFont="1" applyFill="1" applyBorder="1"/>
    <xf numFmtId="4" fontId="0" fillId="0" borderId="0" xfId="0" applyNumberFormat="1" applyAlignment="1">
      <alignment horizontal="center"/>
    </xf>
    <xf numFmtId="0" fontId="22" fillId="0" borderId="0" xfId="0" applyFont="1" applyAlignment="1">
      <alignment horizontal="center"/>
    </xf>
    <xf numFmtId="0" fontId="47" fillId="0" borderId="0" xfId="0" applyFont="1" applyAlignment="1">
      <alignment horizontal="right" indent="1"/>
    </xf>
    <xf numFmtId="43" fontId="21" fillId="0" borderId="17" xfId="3" applyFont="1" applyBorder="1"/>
    <xf numFmtId="10" fontId="0" fillId="0" borderId="18" xfId="0" applyNumberFormat="1" applyBorder="1"/>
    <xf numFmtId="43" fontId="21" fillId="0" borderId="22" xfId="3" applyFont="1" applyBorder="1"/>
    <xf numFmtId="10" fontId="0" fillId="0" borderId="23" xfId="0" applyNumberFormat="1" applyBorder="1"/>
    <xf numFmtId="0" fontId="22" fillId="0" borderId="16" xfId="0" applyFont="1" applyBorder="1" applyAlignment="1">
      <alignment horizontal="right" indent="2"/>
    </xf>
    <xf numFmtId="0" fontId="22" fillId="0" borderId="21" xfId="0" applyFont="1" applyBorder="1" applyAlignment="1">
      <alignment horizontal="right" indent="2"/>
    </xf>
    <xf numFmtId="0" fontId="0" fillId="0" borderId="0" xfId="0" applyAlignment="1">
      <alignment horizontal="center"/>
    </xf>
    <xf numFmtId="0" fontId="0" fillId="0" borderId="53" xfId="0" applyBorder="1" applyAlignment="1">
      <alignment vertical="top"/>
    </xf>
    <xf numFmtId="0" fontId="0" fillId="0" borderId="36" xfId="0" applyBorder="1" applyAlignment="1">
      <alignment horizontal="center" vertical="top"/>
    </xf>
    <xf numFmtId="43" fontId="21" fillId="0" borderId="54" xfId="3" applyFont="1" applyBorder="1" applyAlignment="1">
      <alignment horizontal="left" vertical="top"/>
    </xf>
    <xf numFmtId="43" fontId="21" fillId="0" borderId="55" xfId="3" applyFont="1" applyBorder="1" applyAlignment="1">
      <alignment horizontal="left" vertical="top"/>
    </xf>
    <xf numFmtId="43" fontId="21" fillId="7" borderId="27" xfId="3" applyFont="1" applyFill="1" applyBorder="1" applyAlignment="1">
      <alignment horizontal="left" vertical="top"/>
    </xf>
    <xf numFmtId="0" fontId="22" fillId="0" borderId="0" xfId="0" applyFont="1" applyBorder="1" applyAlignment="1">
      <alignment horizontal="left"/>
    </xf>
    <xf numFmtId="0" fontId="0" fillId="0" borderId="0" xfId="0" applyBorder="1" applyAlignment="1">
      <alignment horizontal="left"/>
    </xf>
    <xf numFmtId="0" fontId="0" fillId="3" borderId="0" xfId="0" applyFill="1" applyBorder="1" applyAlignment="1">
      <alignment horizontal="center" vertical="top"/>
    </xf>
    <xf numFmtId="43" fontId="21" fillId="3" borderId="0" xfId="3" applyFont="1" applyFill="1" applyBorder="1" applyAlignment="1">
      <alignment horizontal="left" vertical="top"/>
    </xf>
    <xf numFmtId="4" fontId="0" fillId="0" borderId="13" xfId="0" applyNumberFormat="1" applyBorder="1" applyAlignment="1">
      <alignment horizontal="center" vertical="center"/>
    </xf>
    <xf numFmtId="0" fontId="22" fillId="17" borderId="0" xfId="0" applyFont="1" applyFill="1" applyBorder="1"/>
    <xf numFmtId="0" fontId="37" fillId="17" borderId="0" xfId="0" applyFont="1" applyFill="1" applyBorder="1" applyAlignment="1">
      <alignment vertical="center"/>
    </xf>
    <xf numFmtId="9" fontId="37" fillId="17" borderId="0" xfId="0" applyNumberFormat="1" applyFont="1" applyFill="1" applyBorder="1" applyAlignment="1">
      <alignment horizontal="center" vertical="top"/>
    </xf>
    <xf numFmtId="0" fontId="22" fillId="17" borderId="0" xfId="0" applyFont="1" applyFill="1"/>
    <xf numFmtId="0" fontId="22" fillId="22" borderId="19" xfId="0" applyFont="1" applyFill="1" applyBorder="1"/>
    <xf numFmtId="0" fontId="22" fillId="22" borderId="0" xfId="0" applyFont="1" applyFill="1" applyBorder="1"/>
    <xf numFmtId="9" fontId="37" fillId="22" borderId="0" xfId="0" applyNumberFormat="1" applyFont="1" applyFill="1" applyBorder="1" applyAlignment="1">
      <alignment horizontal="center" vertical="top"/>
    </xf>
    <xf numFmtId="0" fontId="22" fillId="22" borderId="0" xfId="0" applyFont="1" applyFill="1"/>
    <xf numFmtId="0" fontId="30" fillId="22" borderId="2" xfId="0" applyFont="1" applyFill="1" applyBorder="1" applyAlignment="1">
      <alignment horizontal="center" vertical="center"/>
    </xf>
    <xf numFmtId="0" fontId="30" fillId="22" borderId="2" xfId="0" applyFont="1" applyFill="1" applyBorder="1" applyAlignment="1">
      <alignment horizontal="center" vertical="center" wrapText="1"/>
    </xf>
    <xf numFmtId="0" fontId="0" fillId="22" borderId="19" xfId="0" applyFont="1" applyFill="1" applyBorder="1"/>
    <xf numFmtId="0" fontId="0" fillId="22" borderId="2" xfId="0" applyFont="1" applyFill="1" applyBorder="1"/>
    <xf numFmtId="164" fontId="21" fillId="22" borderId="2" xfId="3" applyNumberFormat="1" applyFont="1" applyFill="1" applyBorder="1" applyAlignment="1">
      <alignment horizontal="right"/>
    </xf>
    <xf numFmtId="164" fontId="21" fillId="22" borderId="2" xfId="3" applyNumberFormat="1" applyFont="1" applyFill="1" applyBorder="1" applyAlignment="1">
      <alignment horizontal="center"/>
    </xf>
    <xf numFmtId="0" fontId="22" fillId="22" borderId="2" xfId="0" applyFont="1" applyFill="1" applyBorder="1"/>
    <xf numFmtId="9" fontId="22" fillId="22" borderId="2" xfId="13" applyFont="1" applyFill="1" applyBorder="1" applyAlignment="1">
      <alignment horizontal="right"/>
    </xf>
    <xf numFmtId="9" fontId="22" fillId="22" borderId="0" xfId="13" applyFont="1" applyFill="1" applyBorder="1" applyAlignment="1">
      <alignment horizontal="right"/>
    </xf>
    <xf numFmtId="0" fontId="60" fillId="22" borderId="0" xfId="0" applyFont="1" applyFill="1"/>
    <xf numFmtId="0" fontId="0" fillId="22" borderId="0" xfId="0" applyFill="1"/>
    <xf numFmtId="0" fontId="22" fillId="22" borderId="2" xfId="0" applyFont="1" applyFill="1" applyBorder="1" applyAlignment="1">
      <alignment horizontal="center" vertical="center" wrapText="1"/>
    </xf>
    <xf numFmtId="0" fontId="22" fillId="22" borderId="2" xfId="0" applyFont="1" applyFill="1" applyBorder="1" applyAlignment="1">
      <alignment horizontal="center" vertical="center"/>
    </xf>
    <xf numFmtId="0" fontId="22" fillId="22" borderId="2" xfId="0" applyFont="1" applyFill="1" applyBorder="1" applyAlignment="1">
      <alignment horizontal="center"/>
    </xf>
    <xf numFmtId="0" fontId="0" fillId="22" borderId="2" xfId="0" applyFill="1" applyBorder="1" applyAlignment="1">
      <alignment horizontal="center"/>
    </xf>
    <xf numFmtId="43" fontId="21" fillId="22" borderId="2" xfId="3" applyFont="1" applyFill="1" applyBorder="1" applyAlignment="1">
      <alignment horizontal="right"/>
    </xf>
    <xf numFmtId="0" fontId="22" fillId="22" borderId="2" xfId="0" applyFont="1" applyFill="1" applyBorder="1" applyAlignment="1">
      <alignment horizontal="center" vertical="top"/>
    </xf>
    <xf numFmtId="0" fontId="0" fillId="22" borderId="2" xfId="0" applyFill="1" applyBorder="1" applyAlignment="1">
      <alignment horizontal="center" vertical="top"/>
    </xf>
    <xf numFmtId="43" fontId="22" fillId="22" borderId="2" xfId="3" applyFont="1" applyFill="1" applyBorder="1" applyAlignment="1">
      <alignment horizontal="right"/>
    </xf>
    <xf numFmtId="0" fontId="22" fillId="22" borderId="0" xfId="0" applyFont="1" applyFill="1" applyBorder="1" applyAlignment="1">
      <alignment horizontal="center"/>
    </xf>
    <xf numFmtId="43" fontId="22" fillId="22" borderId="0" xfId="3" applyFont="1" applyFill="1" applyBorder="1" applyAlignment="1">
      <alignment horizontal="center"/>
    </xf>
    <xf numFmtId="0" fontId="61" fillId="22" borderId="2" xfId="0" applyFont="1" applyFill="1" applyBorder="1" applyAlignment="1">
      <alignment horizontal="center" vertical="center"/>
    </xf>
    <xf numFmtId="0" fontId="61" fillId="22" borderId="2" xfId="0" applyFont="1" applyFill="1" applyBorder="1" applyAlignment="1">
      <alignment horizontal="center" vertical="center" wrapText="1"/>
    </xf>
    <xf numFmtId="0" fontId="62" fillId="22" borderId="2" xfId="0" applyFont="1" applyFill="1" applyBorder="1" applyAlignment="1">
      <alignment vertical="center"/>
    </xf>
    <xf numFmtId="0" fontId="62" fillId="22" borderId="2" xfId="0" applyNumberFormat="1" applyFont="1" applyFill="1" applyBorder="1" applyAlignment="1">
      <alignment horizontal="center" vertical="top"/>
    </xf>
    <xf numFmtId="0" fontId="62" fillId="22" borderId="2" xfId="0" applyFont="1" applyFill="1" applyBorder="1" applyAlignment="1">
      <alignment vertical="center" wrapText="1"/>
    </xf>
    <xf numFmtId="0" fontId="63" fillId="22" borderId="2" xfId="0" applyFont="1" applyFill="1" applyBorder="1" applyAlignment="1">
      <alignment vertical="center" wrapText="1"/>
    </xf>
    <xf numFmtId="0" fontId="0" fillId="22" borderId="19" xfId="0" applyFill="1" applyBorder="1"/>
    <xf numFmtId="0" fontId="0" fillId="22" borderId="0" xfId="0" applyFill="1" applyBorder="1"/>
    <xf numFmtId="0" fontId="37" fillId="22" borderId="2" xfId="0" applyFont="1" applyFill="1" applyBorder="1" applyAlignment="1">
      <alignment vertical="center" wrapText="1"/>
    </xf>
    <xf numFmtId="9" fontId="37" fillId="22" borderId="2" xfId="0" applyNumberFormat="1" applyFont="1" applyFill="1" applyBorder="1" applyAlignment="1">
      <alignment horizontal="center" vertical="top"/>
    </xf>
    <xf numFmtId="0" fontId="64" fillId="17" borderId="19" xfId="0" applyFont="1" applyFill="1" applyBorder="1" applyAlignment="1">
      <alignment vertical="top"/>
    </xf>
    <xf numFmtId="0" fontId="0" fillId="0" borderId="0" xfId="0" quotePrefix="1" applyBorder="1"/>
    <xf numFmtId="43" fontId="21" fillId="0" borderId="0" xfId="3" applyFont="1" applyBorder="1" applyAlignment="1">
      <alignment horizontal="right"/>
    </xf>
    <xf numFmtId="0" fontId="0" fillId="16" borderId="2" xfId="0" applyFill="1" applyBorder="1" applyAlignment="1">
      <alignment vertical="top"/>
    </xf>
    <xf numFmtId="4" fontId="21" fillId="16" borderId="2" xfId="3" applyNumberFormat="1" applyFont="1" applyFill="1" applyBorder="1" applyAlignment="1">
      <alignment horizontal="right" vertical="top"/>
    </xf>
    <xf numFmtId="3" fontId="21" fillId="16" borderId="2" xfId="3" applyNumberFormat="1" applyFont="1" applyFill="1" applyBorder="1" applyAlignment="1">
      <alignment horizontal="right" vertical="top"/>
    </xf>
    <xf numFmtId="4" fontId="21" fillId="3" borderId="2" xfId="3" applyNumberFormat="1" applyFont="1" applyFill="1" applyBorder="1" applyAlignment="1">
      <alignment horizontal="right" vertical="top"/>
    </xf>
    <xf numFmtId="3" fontId="21" fillId="3" borderId="2" xfId="3" applyNumberFormat="1" applyFont="1" applyFill="1" applyBorder="1" applyAlignment="1">
      <alignment horizontal="right" vertical="top"/>
    </xf>
    <xf numFmtId="4" fontId="21" fillId="0" borderId="2" xfId="3" applyNumberFormat="1" applyFont="1" applyBorder="1" applyAlignment="1">
      <alignment horizontal="right" vertical="top"/>
    </xf>
    <xf numFmtId="3" fontId="21" fillId="0" borderId="2" xfId="3" applyNumberFormat="1" applyFont="1" applyBorder="1" applyAlignment="1">
      <alignment horizontal="right" vertical="top"/>
    </xf>
    <xf numFmtId="0" fontId="0" fillId="0" borderId="0" xfId="0" quotePrefix="1" applyFill="1" applyBorder="1"/>
    <xf numFmtId="0" fontId="23" fillId="4" borderId="2" xfId="0" applyNumberFormat="1" applyFont="1" applyFill="1" applyBorder="1" applyAlignment="1">
      <alignment horizontal="right" wrapText="1"/>
    </xf>
    <xf numFmtId="43" fontId="27" fillId="0" borderId="2" xfId="3" applyFont="1" applyBorder="1" applyAlignment="1">
      <alignment horizontal="right"/>
    </xf>
    <xf numFmtId="0" fontId="24" fillId="3" borderId="0" xfId="0" applyNumberFormat="1" applyFont="1" applyFill="1" applyBorder="1" applyAlignment="1">
      <alignment horizontal="right" vertical="top"/>
    </xf>
    <xf numFmtId="0" fontId="27" fillId="3" borderId="0" xfId="0" applyNumberFormat="1" applyFont="1" applyFill="1" applyBorder="1" applyAlignment="1">
      <alignment horizontal="right" vertical="top"/>
    </xf>
    <xf numFmtId="0" fontId="1" fillId="3" borderId="0" xfId="0" applyNumberFormat="1" applyFont="1" applyFill="1" applyBorder="1" applyAlignment="1">
      <alignment horizontal="right" vertical="top"/>
    </xf>
    <xf numFmtId="0" fontId="6" fillId="3" borderId="0" xfId="0" applyNumberFormat="1" applyFont="1" applyFill="1" applyBorder="1" applyAlignment="1">
      <alignment horizontal="right" vertical="top"/>
    </xf>
    <xf numFmtId="0" fontId="0" fillId="7" borderId="5" xfId="0" applyFont="1" applyFill="1" applyBorder="1"/>
    <xf numFmtId="43" fontId="0" fillId="16" borderId="34" xfId="0" applyNumberFormat="1" applyFill="1" applyBorder="1" applyAlignment="1"/>
    <xf numFmtId="0" fontId="65" fillId="5" borderId="2" xfId="0" applyFont="1" applyFill="1" applyBorder="1" applyAlignment="1">
      <alignment horizontal="center" vertical="center" wrapText="1"/>
    </xf>
    <xf numFmtId="0" fontId="26" fillId="20" borderId="0" xfId="0" applyNumberFormat="1" applyFont="1" applyFill="1" applyBorder="1" applyAlignment="1">
      <alignment vertical="top"/>
    </xf>
    <xf numFmtId="0" fontId="24" fillId="0" borderId="0" xfId="0" applyNumberFormat="1" applyFont="1" applyBorder="1" applyAlignment="1">
      <alignment vertical="top"/>
    </xf>
    <xf numFmtId="43" fontId="23" fillId="5" borderId="30" xfId="3" applyFont="1" applyFill="1" applyBorder="1" applyAlignment="1">
      <alignment horizontal="center" vertical="top" wrapText="1"/>
    </xf>
    <xf numFmtId="43" fontId="1" fillId="3" borderId="56" xfId="3" applyFont="1" applyFill="1" applyBorder="1" applyAlignment="1">
      <alignment vertical="top" wrapText="1"/>
    </xf>
    <xf numFmtId="0" fontId="23" fillId="5" borderId="2" xfId="0" applyNumberFormat="1" applyFont="1" applyFill="1" applyBorder="1" applyAlignment="1">
      <alignment horizontal="center" vertical="top" wrapText="1"/>
    </xf>
    <xf numFmtId="0" fontId="23" fillId="5" borderId="2" xfId="0" applyFont="1" applyFill="1" applyBorder="1" applyAlignment="1">
      <alignment horizontal="center" vertical="top" wrapText="1"/>
    </xf>
    <xf numFmtId="43" fontId="23" fillId="5" borderId="2" xfId="3" applyFont="1" applyFill="1" applyBorder="1" applyAlignment="1">
      <alignment horizontal="center" vertical="top" wrapText="1"/>
    </xf>
    <xf numFmtId="0" fontId="23" fillId="5" borderId="2" xfId="3" applyNumberFormat="1" applyFont="1" applyFill="1" applyBorder="1" applyAlignment="1">
      <alignment horizontal="center" vertical="top" wrapText="1"/>
    </xf>
    <xf numFmtId="43" fontId="23" fillId="5" borderId="2" xfId="3" applyNumberFormat="1" applyFont="1" applyFill="1" applyBorder="1" applyAlignment="1">
      <alignment horizontal="center" vertical="top" wrapText="1"/>
    </xf>
    <xf numFmtId="49" fontId="23" fillId="5" borderId="2" xfId="3" applyNumberFormat="1" applyFont="1" applyFill="1" applyBorder="1" applyAlignment="1">
      <alignment horizontal="center" vertical="top" wrapText="1"/>
    </xf>
    <xf numFmtId="0" fontId="66" fillId="0" borderId="0" xfId="0" applyNumberFormat="1" applyFont="1" applyAlignment="1">
      <alignment horizontal="left" vertical="top"/>
    </xf>
    <xf numFmtId="0" fontId="27" fillId="3" borderId="17" xfId="0" applyNumberFormat="1" applyFont="1" applyFill="1" applyBorder="1" applyAlignment="1">
      <alignment horizontal="left" indent="2"/>
    </xf>
    <xf numFmtId="0" fontId="27" fillId="3" borderId="17" xfId="0" applyNumberFormat="1" applyFont="1" applyFill="1" applyBorder="1" applyAlignment="1">
      <alignment horizontal="center"/>
    </xf>
    <xf numFmtId="0" fontId="27" fillId="3" borderId="17" xfId="0" applyFont="1" applyFill="1" applyBorder="1"/>
    <xf numFmtId="0" fontId="23" fillId="5" borderId="5" xfId="0" applyNumberFormat="1" applyFont="1" applyFill="1" applyBorder="1" applyAlignment="1">
      <alignment horizontal="center" vertical="top" wrapText="1"/>
    </xf>
    <xf numFmtId="43" fontId="23" fillId="5" borderId="8" xfId="3" applyFont="1" applyFill="1" applyBorder="1" applyAlignment="1">
      <alignment horizontal="center" vertical="top" wrapText="1"/>
    </xf>
    <xf numFmtId="0" fontId="1" fillId="3" borderId="8" xfId="1" applyNumberFormat="1" applyFont="1" applyFill="1" applyBorder="1" applyAlignment="1">
      <alignment vertical="top" wrapText="1"/>
    </xf>
    <xf numFmtId="0" fontId="1" fillId="3" borderId="6" xfId="10" applyFont="1" applyFill="1" applyBorder="1" applyAlignment="1">
      <alignment horizontal="left" vertical="top" wrapText="1"/>
    </xf>
    <xf numFmtId="0" fontId="1" fillId="3" borderId="3" xfId="1" applyFont="1" applyFill="1" applyBorder="1" applyAlignment="1">
      <alignment horizontal="center" vertical="top" wrapText="1"/>
    </xf>
    <xf numFmtId="0" fontId="1" fillId="3" borderId="3" xfId="1" applyNumberFormat="1" applyFont="1" applyFill="1" applyBorder="1" applyAlignment="1">
      <alignment horizontal="center" vertical="top" wrapText="1"/>
    </xf>
    <xf numFmtId="0" fontId="1" fillId="3" borderId="3" xfId="1" applyFont="1" applyFill="1" applyBorder="1" applyAlignment="1">
      <alignment vertical="top" wrapText="1"/>
    </xf>
    <xf numFmtId="0" fontId="1" fillId="3" borderId="3" xfId="1" applyNumberFormat="1" applyFont="1" applyFill="1" applyBorder="1" applyAlignment="1">
      <alignment vertical="top" wrapText="1"/>
    </xf>
    <xf numFmtId="0" fontId="1" fillId="3" borderId="3" xfId="0" applyFont="1" applyFill="1" applyBorder="1" applyAlignment="1">
      <alignment horizontal="center" vertical="top" wrapText="1"/>
    </xf>
    <xf numFmtId="43" fontId="1" fillId="3" borderId="3" xfId="3" applyFont="1" applyFill="1" applyBorder="1" applyAlignment="1">
      <alignment vertical="top" wrapText="1"/>
    </xf>
    <xf numFmtId="43" fontId="1" fillId="3" borderId="3" xfId="3" applyFont="1" applyFill="1" applyBorder="1" applyAlignment="1">
      <alignment horizontal="center" vertical="top" wrapText="1"/>
    </xf>
    <xf numFmtId="0" fontId="1" fillId="3" borderId="3" xfId="1" applyNumberFormat="1" applyFont="1" applyFill="1" applyBorder="1" applyAlignment="1">
      <alignment horizontal="right" vertical="top" wrapText="1"/>
    </xf>
    <xf numFmtId="0" fontId="1" fillId="3" borderId="3" xfId="3" applyNumberFormat="1" applyFont="1" applyFill="1" applyBorder="1" applyAlignment="1">
      <alignment horizontal="center" vertical="top" wrapText="1"/>
    </xf>
    <xf numFmtId="0" fontId="1" fillId="3" borderId="3" xfId="1" applyFont="1" applyFill="1" applyBorder="1" applyAlignment="1">
      <alignment vertical="top"/>
    </xf>
    <xf numFmtId="43" fontId="1" fillId="3" borderId="3" xfId="10" applyNumberFormat="1" applyFont="1" applyFill="1" applyBorder="1" applyAlignment="1">
      <alignment horizontal="left" vertical="top" wrapText="1"/>
    </xf>
    <xf numFmtId="43" fontId="1" fillId="3" borderId="3" xfId="7" applyNumberFormat="1" applyFont="1" applyFill="1" applyBorder="1" applyAlignment="1">
      <alignment horizontal="left" vertical="top" wrapText="1"/>
    </xf>
    <xf numFmtId="4" fontId="1" fillId="3" borderId="3" xfId="10" applyNumberFormat="1" applyFont="1" applyFill="1" applyBorder="1" applyAlignment="1">
      <alignment horizontal="right" vertical="top"/>
    </xf>
    <xf numFmtId="43" fontId="1" fillId="3" borderId="3" xfId="3" applyFont="1" applyFill="1" applyBorder="1" applyAlignment="1">
      <alignment horizontal="left" vertical="top" wrapText="1"/>
    </xf>
    <xf numFmtId="0" fontId="1" fillId="3" borderId="3" xfId="10" applyFont="1" applyFill="1" applyBorder="1" applyAlignment="1">
      <alignment horizontal="left" vertical="top" wrapText="1"/>
    </xf>
    <xf numFmtId="43" fontId="1" fillId="3" borderId="3" xfId="1" applyNumberFormat="1" applyFont="1" applyFill="1" applyBorder="1" applyAlignment="1">
      <alignment vertical="top" wrapText="1"/>
    </xf>
    <xf numFmtId="0" fontId="1" fillId="3" borderId="13" xfId="1" applyNumberFormat="1" applyFont="1" applyFill="1" applyBorder="1" applyAlignment="1">
      <alignment vertical="top" wrapText="1"/>
    </xf>
    <xf numFmtId="0" fontId="67" fillId="28" borderId="16" xfId="0" applyNumberFormat="1" applyFont="1" applyFill="1" applyBorder="1" applyAlignment="1">
      <alignment vertical="center"/>
    </xf>
    <xf numFmtId="0" fontId="27" fillId="29" borderId="17" xfId="0" applyFont="1" applyFill="1" applyBorder="1" applyAlignment="1">
      <alignment horizontal="center" vertical="top"/>
    </xf>
    <xf numFmtId="164" fontId="43" fillId="29" borderId="17" xfId="0" applyNumberFormat="1" applyFont="1" applyFill="1" applyBorder="1" applyAlignment="1">
      <alignment vertical="top"/>
    </xf>
    <xf numFmtId="0" fontId="28" fillId="29" borderId="17" xfId="0" applyNumberFormat="1" applyFont="1" applyFill="1" applyBorder="1" applyAlignment="1">
      <alignment horizontal="left" vertical="top"/>
    </xf>
    <xf numFmtId="0" fontId="27" fillId="29" borderId="17" xfId="0" applyFont="1" applyFill="1" applyBorder="1" applyAlignment="1">
      <alignment horizontal="left" vertical="top"/>
    </xf>
    <xf numFmtId="0" fontId="27" fillId="29" borderId="17" xfId="0" applyFont="1" applyFill="1" applyBorder="1"/>
    <xf numFmtId="0" fontId="27" fillId="29" borderId="17" xfId="0" applyNumberFormat="1" applyFont="1" applyFill="1" applyBorder="1" applyAlignment="1">
      <alignment horizontal="left" indent="2"/>
    </xf>
    <xf numFmtId="0" fontId="27" fillId="29" borderId="17" xfId="0" applyNumberFormat="1" applyFont="1" applyFill="1" applyBorder="1" applyAlignment="1">
      <alignment horizontal="center"/>
    </xf>
    <xf numFmtId="0" fontId="27" fillId="29" borderId="80" xfId="0" applyFont="1" applyFill="1" applyBorder="1" applyAlignment="1">
      <alignment horizontal="left" vertical="top"/>
    </xf>
    <xf numFmtId="0" fontId="67" fillId="30" borderId="26" xfId="0" applyNumberFormat="1" applyFont="1" applyFill="1" applyBorder="1" applyAlignment="1">
      <alignment vertical="center"/>
    </xf>
    <xf numFmtId="0" fontId="27" fillId="30" borderId="17" xfId="0" applyNumberFormat="1" applyFont="1" applyFill="1" applyBorder="1" applyAlignment="1">
      <alignment horizontal="left" indent="2"/>
    </xf>
    <xf numFmtId="0" fontId="27" fillId="30" borderId="17" xfId="0" applyFont="1" applyFill="1" applyBorder="1"/>
    <xf numFmtId="0" fontId="27" fillId="30" borderId="17" xfId="0" applyFont="1" applyFill="1" applyBorder="1" applyAlignment="1">
      <alignment horizontal="center"/>
    </xf>
    <xf numFmtId="0" fontId="27" fillId="30" borderId="80" xfId="0" applyFont="1" applyFill="1" applyBorder="1" applyAlignment="1">
      <alignment horizontal="center"/>
    </xf>
    <xf numFmtId="0" fontId="67" fillId="31" borderId="26" xfId="0" applyNumberFormat="1" applyFont="1" applyFill="1" applyBorder="1" applyAlignment="1">
      <alignment vertical="center"/>
    </xf>
    <xf numFmtId="0" fontId="27" fillId="31" borderId="17" xfId="0" applyNumberFormat="1" applyFont="1" applyFill="1" applyBorder="1" applyAlignment="1">
      <alignment horizontal="center"/>
    </xf>
    <xf numFmtId="0" fontId="27" fillId="31" borderId="17" xfId="0" applyNumberFormat="1" applyFont="1" applyFill="1" applyBorder="1" applyAlignment="1">
      <alignment horizontal="left" indent="2"/>
    </xf>
    <xf numFmtId="0" fontId="27" fillId="31" borderId="17" xfId="0" applyFont="1" applyFill="1" applyBorder="1" applyAlignment="1">
      <alignment horizontal="center"/>
    </xf>
    <xf numFmtId="0" fontId="27" fillId="31" borderId="17" xfId="0" applyFont="1" applyFill="1" applyBorder="1" applyAlignment="1">
      <alignment horizontal="center" vertical="top" wrapText="1"/>
    </xf>
    <xf numFmtId="0" fontId="27" fillId="31" borderId="17" xfId="0" applyFont="1" applyFill="1" applyBorder="1"/>
    <xf numFmtId="0" fontId="28" fillId="31" borderId="17" xfId="0" applyFont="1" applyFill="1" applyBorder="1"/>
    <xf numFmtId="0" fontId="28" fillId="31" borderId="17" xfId="2" applyFont="1" applyFill="1" applyBorder="1"/>
    <xf numFmtId="43" fontId="27" fillId="31" borderId="17" xfId="0" applyNumberFormat="1" applyFont="1" applyFill="1" applyBorder="1"/>
    <xf numFmtId="43" fontId="27" fillId="31" borderId="80" xfId="3" applyFont="1" applyFill="1" applyBorder="1" applyAlignment="1">
      <alignment horizontal="center" vertical="top"/>
    </xf>
    <xf numFmtId="0" fontId="67" fillId="2" borderId="26" xfId="0" applyNumberFormat="1" applyFont="1" applyFill="1" applyBorder="1" applyAlignment="1">
      <alignment vertical="center"/>
    </xf>
    <xf numFmtId="0" fontId="27" fillId="2" borderId="17" xfId="0" applyFont="1" applyFill="1" applyBorder="1"/>
    <xf numFmtId="0" fontId="28" fillId="2" borderId="17" xfId="2" applyFont="1" applyFill="1" applyBorder="1"/>
    <xf numFmtId="49" fontId="27" fillId="2" borderId="18" xfId="0" applyNumberFormat="1" applyFont="1" applyFill="1" applyBorder="1"/>
    <xf numFmtId="0" fontId="28" fillId="0" borderId="43" xfId="0" applyNumberFormat="1" applyFont="1" applyBorder="1" applyAlignment="1">
      <alignment vertical="top"/>
    </xf>
    <xf numFmtId="0" fontId="27" fillId="0" borderId="42" xfId="0" applyFont="1" applyBorder="1" applyAlignment="1">
      <alignment horizontal="center" vertical="top"/>
    </xf>
    <xf numFmtId="0" fontId="27" fillId="0" borderId="42" xfId="0" applyNumberFormat="1" applyFont="1" applyBorder="1" applyAlignment="1">
      <alignment vertical="top"/>
    </xf>
    <xf numFmtId="0" fontId="27" fillId="0" borderId="42" xfId="0" applyFont="1" applyBorder="1"/>
    <xf numFmtId="0" fontId="27" fillId="0" borderId="42" xfId="0" applyFont="1" applyBorder="1" applyAlignment="1">
      <alignment horizontal="left" vertical="top"/>
    </xf>
    <xf numFmtId="0" fontId="27" fillId="0" borderId="42" xfId="0" applyNumberFormat="1" applyFont="1" applyBorder="1"/>
    <xf numFmtId="0" fontId="27" fillId="0" borderId="42" xfId="0" applyNumberFormat="1" applyFont="1" applyBorder="1" applyAlignment="1">
      <alignment horizontal="center"/>
    </xf>
    <xf numFmtId="0" fontId="27" fillId="0" borderId="42" xfId="0" applyFont="1" applyBorder="1" applyAlignment="1">
      <alignment horizontal="center"/>
    </xf>
    <xf numFmtId="0" fontId="27" fillId="0" borderId="42" xfId="0" applyFont="1" applyBorder="1" applyAlignment="1">
      <alignment horizontal="center" vertical="top" wrapText="1"/>
    </xf>
    <xf numFmtId="0" fontId="28" fillId="0" borderId="42" xfId="0" applyFont="1" applyBorder="1"/>
    <xf numFmtId="0" fontId="28" fillId="0" borderId="42" xfId="2" applyFont="1" applyBorder="1"/>
    <xf numFmtId="43" fontId="27" fillId="0" borderId="42" xfId="0" applyNumberFormat="1" applyFont="1" applyBorder="1"/>
    <xf numFmtId="49" fontId="27" fillId="0" borderId="41" xfId="0" applyNumberFormat="1" applyFont="1" applyBorder="1"/>
    <xf numFmtId="0" fontId="29" fillId="4" borderId="3" xfId="0" applyNumberFormat="1" applyFont="1" applyFill="1" applyBorder="1" applyAlignment="1">
      <alignment horizontal="center" vertical="center" wrapText="1"/>
    </xf>
    <xf numFmtId="0" fontId="23" fillId="30" borderId="3" xfId="0" applyNumberFormat="1" applyFont="1" applyFill="1" applyBorder="1" applyAlignment="1">
      <alignment horizontal="center" vertical="center" wrapText="1"/>
    </xf>
    <xf numFmtId="43" fontId="23" fillId="31" borderId="3" xfId="3" applyFont="1" applyFill="1" applyBorder="1" applyAlignment="1">
      <alignment horizontal="center" vertical="center" wrapText="1"/>
    </xf>
    <xf numFmtId="43" fontId="23" fillId="31" borderId="3" xfId="3" applyNumberFormat="1" applyFont="1" applyFill="1" applyBorder="1" applyAlignment="1">
      <alignment horizontal="center" vertical="center" wrapText="1"/>
    </xf>
    <xf numFmtId="0" fontId="68" fillId="4" borderId="3" xfId="0" applyNumberFormat="1" applyFont="1" applyFill="1" applyBorder="1" applyAlignment="1">
      <alignment horizontal="center" vertical="center" wrapText="1"/>
    </xf>
    <xf numFmtId="0" fontId="1" fillId="16" borderId="2" xfId="1" applyNumberFormat="1" applyFont="1" applyFill="1" applyBorder="1" applyAlignment="1">
      <alignment horizontal="center" vertical="top" wrapText="1"/>
    </xf>
    <xf numFmtId="43" fontId="1" fillId="16" borderId="2" xfId="3" applyFont="1" applyFill="1" applyBorder="1" applyAlignment="1">
      <alignment horizontal="right" vertical="top" wrapText="1"/>
    </xf>
    <xf numFmtId="43" fontId="1" fillId="16" borderId="2" xfId="3" applyFont="1" applyFill="1" applyBorder="1" applyAlignment="1">
      <alignment vertical="top" wrapText="1"/>
    </xf>
    <xf numFmtId="0" fontId="1" fillId="16" borderId="2" xfId="3" applyNumberFormat="1" applyFont="1" applyFill="1" applyBorder="1" applyAlignment="1">
      <alignment horizontal="center" vertical="top" wrapText="1"/>
    </xf>
    <xf numFmtId="0" fontId="1" fillId="16" borderId="3" xfId="1" applyNumberFormat="1" applyFont="1" applyFill="1" applyBorder="1" applyAlignment="1">
      <alignment horizontal="center" vertical="top" wrapText="1"/>
    </xf>
    <xf numFmtId="43" fontId="1" fillId="16" borderId="3" xfId="3" applyFont="1" applyFill="1" applyBorder="1" applyAlignment="1">
      <alignment horizontal="right" vertical="top" wrapText="1"/>
    </xf>
    <xf numFmtId="43" fontId="1" fillId="16" borderId="3" xfId="3" applyFont="1" applyFill="1" applyBorder="1" applyAlignment="1">
      <alignment vertical="top" wrapText="1"/>
    </xf>
    <xf numFmtId="43" fontId="1" fillId="16" borderId="2" xfId="10" applyNumberFormat="1" applyFont="1" applyFill="1" applyBorder="1" applyAlignment="1">
      <alignment horizontal="left" vertical="top" wrapText="1"/>
    </xf>
    <xf numFmtId="43" fontId="1" fillId="16" borderId="3" xfId="10" applyNumberFormat="1" applyFont="1" applyFill="1" applyBorder="1" applyAlignment="1">
      <alignment horizontal="left" vertical="top" wrapText="1"/>
    </xf>
    <xf numFmtId="0" fontId="23" fillId="31" borderId="3" xfId="0" applyNumberFormat="1" applyFont="1" applyFill="1" applyBorder="1" applyAlignment="1">
      <alignment horizontal="center" vertical="center" wrapText="1"/>
    </xf>
    <xf numFmtId="0" fontId="23" fillId="4" borderId="1" xfId="0" applyNumberFormat="1" applyFont="1" applyFill="1" applyBorder="1" applyAlignment="1">
      <alignment horizontal="center" vertical="center" wrapText="1"/>
    </xf>
    <xf numFmtId="0" fontId="23" fillId="4" borderId="2" xfId="0" applyNumberFormat="1" applyFont="1" applyFill="1" applyBorder="1" applyAlignment="1">
      <alignment horizontal="center" vertical="center" wrapText="1"/>
    </xf>
    <xf numFmtId="0" fontId="23" fillId="5" borderId="3" xfId="0" applyFont="1" applyFill="1" applyBorder="1" applyAlignment="1">
      <alignment horizontal="center" vertical="center" wrapText="1"/>
    </xf>
    <xf numFmtId="0" fontId="23" fillId="4" borderId="3" xfId="0" applyNumberFormat="1" applyFont="1" applyFill="1" applyBorder="1" applyAlignment="1">
      <alignment horizontal="center" vertical="center" wrapText="1"/>
    </xf>
    <xf numFmtId="0" fontId="1" fillId="16" borderId="3" xfId="3" applyNumberFormat="1" applyFont="1" applyFill="1" applyBorder="1" applyAlignment="1">
      <alignment horizontal="center" vertical="top" wrapText="1"/>
    </xf>
    <xf numFmtId="0" fontId="23" fillId="31" borderId="3" xfId="0" applyNumberFormat="1" applyFont="1" applyFill="1" applyBorder="1" applyAlignment="1">
      <alignment horizontal="center" vertical="center" wrapText="1"/>
    </xf>
    <xf numFmtId="0" fontId="23" fillId="2" borderId="1" xfId="0" applyNumberFormat="1" applyFont="1" applyFill="1" applyBorder="1" applyAlignment="1">
      <alignment horizontal="center" vertical="center" wrapText="1"/>
    </xf>
    <xf numFmtId="0" fontId="23" fillId="2" borderId="2" xfId="0" applyNumberFormat="1" applyFont="1" applyFill="1" applyBorder="1" applyAlignment="1">
      <alignment horizontal="center" vertical="center" wrapText="1"/>
    </xf>
    <xf numFmtId="0" fontId="23" fillId="2" borderId="3" xfId="0" applyNumberFormat="1" applyFont="1" applyFill="1" applyBorder="1" applyAlignment="1">
      <alignment horizontal="center" vertical="center" wrapText="1"/>
    </xf>
    <xf numFmtId="0" fontId="23" fillId="4" borderId="17" xfId="0" applyNumberFormat="1" applyFont="1" applyFill="1" applyBorder="1" applyAlignment="1">
      <alignment horizontal="center" vertical="center" wrapText="1"/>
    </xf>
    <xf numFmtId="0" fontId="23" fillId="4" borderId="57" xfId="0" applyNumberFormat="1" applyFont="1" applyFill="1" applyBorder="1" applyAlignment="1">
      <alignment horizontal="center" vertical="center" wrapText="1"/>
    </xf>
    <xf numFmtId="0" fontId="23" fillId="2" borderId="10" xfId="0" applyNumberFormat="1" applyFont="1" applyFill="1" applyBorder="1" applyAlignment="1">
      <alignment horizontal="center" vertical="center" wrapText="1"/>
    </xf>
    <xf numFmtId="0" fontId="23" fillId="2" borderId="8" xfId="0" applyNumberFormat="1" applyFont="1" applyFill="1" applyBorder="1" applyAlignment="1">
      <alignment horizontal="center" vertical="center" wrapText="1"/>
    </xf>
    <xf numFmtId="0" fontId="23" fillId="2" borderId="13" xfId="0" applyNumberFormat="1" applyFont="1" applyFill="1" applyBorder="1" applyAlignment="1">
      <alignment horizontal="center" vertical="center" wrapText="1"/>
    </xf>
    <xf numFmtId="0" fontId="23" fillId="4" borderId="81" xfId="3" applyNumberFormat="1" applyFont="1" applyFill="1" applyBorder="1" applyAlignment="1">
      <alignment horizontal="center" vertical="center" wrapText="1"/>
    </xf>
    <xf numFmtId="0" fontId="23" fillId="4" borderId="29" xfId="3" applyNumberFormat="1" applyFont="1" applyFill="1" applyBorder="1" applyAlignment="1">
      <alignment horizontal="center" vertical="center" wrapText="1"/>
    </xf>
    <xf numFmtId="43" fontId="23" fillId="31" borderId="1" xfId="3" applyFont="1" applyFill="1" applyBorder="1" applyAlignment="1">
      <alignment horizontal="center" vertical="center" wrapText="1"/>
    </xf>
    <xf numFmtId="0" fontId="23" fillId="31" borderId="2" xfId="3" applyNumberFormat="1" applyFont="1" applyFill="1" applyBorder="1" applyAlignment="1">
      <alignment horizontal="center" vertical="center" wrapText="1"/>
    </xf>
    <xf numFmtId="0" fontId="23" fillId="31" borderId="1" xfId="3" applyNumberFormat="1" applyFont="1" applyFill="1" applyBorder="1" applyAlignment="1">
      <alignment horizontal="center" vertical="center" wrapText="1"/>
    </xf>
    <xf numFmtId="0" fontId="23" fillId="31" borderId="3" xfId="3" applyNumberFormat="1" applyFont="1" applyFill="1" applyBorder="1" applyAlignment="1">
      <alignment horizontal="center" vertical="center" wrapText="1"/>
    </xf>
    <xf numFmtId="0" fontId="23" fillId="4" borderId="1" xfId="0" applyNumberFormat="1" applyFont="1" applyFill="1" applyBorder="1" applyAlignment="1">
      <alignment horizontal="center" vertical="center" wrapText="1"/>
    </xf>
    <xf numFmtId="0" fontId="23" fillId="4" borderId="2" xfId="0" applyNumberFormat="1" applyFont="1" applyFill="1" applyBorder="1" applyAlignment="1">
      <alignment horizontal="center" vertical="center" wrapText="1"/>
    </xf>
    <xf numFmtId="0" fontId="23" fillId="5" borderId="9" xfId="0" applyFont="1" applyFill="1" applyBorder="1" applyAlignment="1">
      <alignment horizontal="center" vertical="center" wrapText="1"/>
    </xf>
    <xf numFmtId="0" fontId="23" fillId="5" borderId="5" xfId="0" applyFont="1" applyFill="1" applyBorder="1" applyAlignment="1">
      <alignment horizontal="center" vertical="center" wrapText="1"/>
    </xf>
    <xf numFmtId="0" fontId="23" fillId="5" borderId="6" xfId="0" applyFont="1" applyFill="1" applyBorder="1" applyAlignment="1">
      <alignment horizontal="center" vertical="center" wrapText="1"/>
    </xf>
    <xf numFmtId="0" fontId="23" fillId="5" borderId="1" xfId="0" applyFont="1" applyFill="1" applyBorder="1" applyAlignment="1">
      <alignment horizontal="center" vertical="center" wrapText="1"/>
    </xf>
    <xf numFmtId="0" fontId="23" fillId="5" borderId="2" xfId="0" applyFont="1" applyFill="1" applyBorder="1" applyAlignment="1">
      <alignment horizontal="center" vertical="center" wrapText="1"/>
    </xf>
    <xf numFmtId="0" fontId="23" fillId="5" borderId="3" xfId="0" applyFont="1" applyFill="1" applyBorder="1" applyAlignment="1">
      <alignment horizontal="center" vertical="center" wrapText="1"/>
    </xf>
    <xf numFmtId="0" fontId="23" fillId="30" borderId="24" xfId="0" applyNumberFormat="1" applyFont="1" applyFill="1" applyBorder="1" applyAlignment="1">
      <alignment horizontal="center" vertical="center" wrapText="1"/>
    </xf>
    <xf numFmtId="0" fontId="23" fillId="30" borderId="76" xfId="0" applyNumberFormat="1" applyFont="1" applyFill="1" applyBorder="1" applyAlignment="1">
      <alignment horizontal="center" vertical="center" wrapText="1"/>
    </xf>
    <xf numFmtId="0" fontId="23" fillId="30" borderId="46" xfId="0" applyNumberFormat="1" applyFont="1" applyFill="1" applyBorder="1" applyAlignment="1">
      <alignment horizontal="center" vertical="center" wrapText="1"/>
    </xf>
    <xf numFmtId="0" fontId="23" fillId="30" borderId="1" xfId="0" applyNumberFormat="1" applyFont="1" applyFill="1" applyBorder="1" applyAlignment="1">
      <alignment horizontal="center" vertical="center" wrapText="1"/>
    </xf>
    <xf numFmtId="0" fontId="23" fillId="30" borderId="2" xfId="0" applyNumberFormat="1" applyFont="1" applyFill="1" applyBorder="1" applyAlignment="1">
      <alignment horizontal="center" vertical="center" wrapText="1"/>
    </xf>
    <xf numFmtId="0" fontId="23" fillId="5" borderId="1" xfId="0" applyNumberFormat="1" applyFont="1" applyFill="1" applyBorder="1" applyAlignment="1">
      <alignment horizontal="center" vertical="center" wrapText="1"/>
    </xf>
    <xf numFmtId="0" fontId="23" fillId="5" borderId="2" xfId="0" applyNumberFormat="1" applyFont="1" applyFill="1" applyBorder="1" applyAlignment="1">
      <alignment horizontal="center" vertical="center" wrapText="1"/>
    </xf>
    <xf numFmtId="0" fontId="23" fillId="5" borderId="3" xfId="0" applyNumberFormat="1" applyFont="1" applyFill="1" applyBorder="1" applyAlignment="1">
      <alignment horizontal="center" vertical="center" wrapText="1"/>
    </xf>
    <xf numFmtId="0" fontId="23" fillId="30" borderId="1" xfId="0" applyFont="1" applyFill="1" applyBorder="1" applyAlignment="1">
      <alignment horizontal="center" vertical="center" wrapText="1"/>
    </xf>
    <xf numFmtId="0" fontId="23" fillId="30" borderId="2" xfId="0" applyFont="1" applyFill="1" applyBorder="1" applyAlignment="1">
      <alignment horizontal="center" vertical="center" wrapText="1"/>
    </xf>
    <xf numFmtId="0" fontId="23" fillId="30" borderId="3" xfId="0" applyFont="1" applyFill="1" applyBorder="1" applyAlignment="1">
      <alignment horizontal="center" vertical="center" wrapText="1"/>
    </xf>
    <xf numFmtId="43" fontId="23" fillId="31" borderId="2" xfId="3" applyFont="1" applyFill="1" applyBorder="1" applyAlignment="1">
      <alignment horizontal="center" vertical="center" wrapText="1"/>
    </xf>
    <xf numFmtId="0" fontId="23" fillId="4" borderId="3" xfId="0" applyNumberFormat="1" applyFont="1" applyFill="1" applyBorder="1" applyAlignment="1">
      <alignment horizontal="center" vertical="center" wrapText="1"/>
    </xf>
    <xf numFmtId="166" fontId="21" fillId="0" borderId="0" xfId="13" applyNumberFormat="1" applyFont="1" applyBorder="1" applyAlignment="1">
      <alignment horizontal="center"/>
    </xf>
    <xf numFmtId="10" fontId="21" fillId="0" borderId="0" xfId="13" applyNumberFormat="1" applyFont="1" applyBorder="1" applyAlignment="1">
      <alignment horizontal="center"/>
    </xf>
    <xf numFmtId="0" fontId="62" fillId="22" borderId="2" xfId="0" applyNumberFormat="1" applyFont="1" applyFill="1" applyBorder="1" applyAlignment="1">
      <alignment horizontal="center" vertical="top"/>
    </xf>
    <xf numFmtId="0" fontId="61" fillId="22" borderId="25" xfId="0" applyFont="1" applyFill="1" applyBorder="1" applyAlignment="1">
      <alignment horizontal="center" vertical="center"/>
    </xf>
    <xf numFmtId="0" fontId="61" fillId="22" borderId="37" xfId="0" applyFont="1" applyFill="1" applyBorder="1" applyAlignment="1">
      <alignment horizontal="center" vertical="center"/>
    </xf>
    <xf numFmtId="0" fontId="61" fillId="22" borderId="29" xfId="0" applyFont="1" applyFill="1" applyBorder="1" applyAlignment="1">
      <alignment horizontal="center" vertical="center"/>
    </xf>
    <xf numFmtId="43" fontId="57" fillId="0" borderId="36" xfId="0" applyNumberFormat="1" applyFont="1" applyBorder="1" applyAlignment="1">
      <alignment horizontal="center" vertical="center"/>
    </xf>
    <xf numFmtId="43" fontId="57" fillId="0" borderId="42" xfId="0" applyNumberFormat="1" applyFont="1" applyBorder="1" applyAlignment="1">
      <alignment horizontal="center" vertical="center"/>
    </xf>
    <xf numFmtId="43" fontId="30" fillId="29" borderId="14" xfId="3" applyFont="1" applyFill="1" applyBorder="1" applyAlignment="1">
      <alignment horizontal="center" vertical="top" wrapText="1"/>
    </xf>
    <xf numFmtId="43" fontId="30" fillId="29" borderId="47" xfId="3" applyFont="1" applyFill="1" applyBorder="1" applyAlignment="1">
      <alignment horizontal="center" vertical="top" wrapText="1"/>
    </xf>
    <xf numFmtId="0" fontId="0" fillId="0" borderId="22" xfId="0" applyBorder="1" applyAlignment="1">
      <alignment horizontal="center"/>
    </xf>
    <xf numFmtId="0" fontId="46" fillId="16" borderId="9" xfId="0" applyFont="1" applyFill="1" applyBorder="1" applyAlignment="1">
      <alignment horizontal="center"/>
    </xf>
    <xf numFmtId="0" fontId="46" fillId="16" borderId="1" xfId="0" applyFont="1" applyFill="1" applyBorder="1" applyAlignment="1">
      <alignment horizontal="center"/>
    </xf>
    <xf numFmtId="0" fontId="46" fillId="16" borderId="10" xfId="0" applyFont="1" applyFill="1" applyBorder="1" applyAlignment="1">
      <alignment horizontal="center"/>
    </xf>
    <xf numFmtId="0" fontId="44" fillId="16" borderId="63" xfId="0" applyFont="1" applyFill="1" applyBorder="1" applyAlignment="1">
      <alignment horizontal="center" wrapText="1"/>
    </xf>
    <xf numFmtId="0" fontId="44" fillId="16" borderId="39" xfId="0" applyFont="1" applyFill="1" applyBorder="1" applyAlignment="1">
      <alignment horizontal="center"/>
    </xf>
    <xf numFmtId="0" fontId="46" fillId="16" borderId="82" xfId="0" applyFont="1" applyFill="1" applyBorder="1" applyAlignment="1">
      <alignment horizontal="center" vertical="center"/>
    </xf>
    <xf numFmtId="0" fontId="46" fillId="16" borderId="32" xfId="0" applyFont="1" applyFill="1" applyBorder="1" applyAlignment="1">
      <alignment horizontal="center" vertical="center"/>
    </xf>
    <xf numFmtId="0" fontId="44" fillId="16" borderId="82" xfId="0" applyFont="1" applyFill="1" applyBorder="1" applyAlignment="1">
      <alignment horizontal="center" vertical="center"/>
    </xf>
    <xf numFmtId="0" fontId="44" fillId="16" borderId="32" xfId="0" applyFont="1" applyFill="1" applyBorder="1" applyAlignment="1">
      <alignment horizontal="center" vertical="center"/>
    </xf>
    <xf numFmtId="0" fontId="44" fillId="16" borderId="9" xfId="0" applyFont="1" applyFill="1" applyBorder="1" applyAlignment="1">
      <alignment horizontal="center"/>
    </xf>
    <xf numFmtId="0" fontId="44" fillId="16" borderId="1" xfId="0" applyFont="1" applyFill="1" applyBorder="1" applyAlignment="1">
      <alignment horizontal="center"/>
    </xf>
    <xf numFmtId="0" fontId="44" fillId="16" borderId="10" xfId="0" applyFont="1" applyFill="1" applyBorder="1" applyAlignment="1">
      <alignment horizontal="center"/>
    </xf>
    <xf numFmtId="0" fontId="42" fillId="19" borderId="2" xfId="0" applyFont="1" applyFill="1" applyBorder="1" applyAlignment="1">
      <alignment horizontal="center"/>
    </xf>
  </cellXfs>
  <cellStyles count="14">
    <cellStyle name="ColLevel_1" xfId="2" builtinId="2" iLevel="0"/>
    <cellStyle name="Comma" xfId="3" builtinId="3"/>
    <cellStyle name="Comma 10" xfId="4"/>
    <cellStyle name="Comma 2" xfId="5"/>
    <cellStyle name="Comma 2 2" xfId="6"/>
    <cellStyle name="Comma 3" xfId="7"/>
    <cellStyle name="Comma 4 3" xfId="8"/>
    <cellStyle name="Comma 6" xfId="9"/>
    <cellStyle name="Normal" xfId="0" builtinId="0"/>
    <cellStyle name="Normal 2" xfId="10"/>
    <cellStyle name="Normal 2 2" xfId="11"/>
    <cellStyle name="Normal_Sheet1" xfId="12"/>
    <cellStyle name="Percent" xfId="13" builtinId="5"/>
    <cellStyle name="RowLevel_1" xfId="1" builtinId="1" iLevel="0"/>
  </cellStyles>
  <dxfs count="58">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_rels/chart7.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_rels/chart8.xml.rels><?xml version="1.0" encoding="UTF-8" standalone="yes"?>
<Relationships xmlns="http://schemas.openxmlformats.org/package/2006/relationships"><Relationship Id="rId1" Type="http://schemas.openxmlformats.org/officeDocument/2006/relationships/themeOverride" Target="../theme/themeOverride2.xml"/></Relationships>
</file>

<file path=xl/charts/_rels/chart9.xml.rels><?xml version="1.0" encoding="UTF-8" standalone="yes"?>
<Relationships xmlns="http://schemas.openxmlformats.org/package/2006/relationships"><Relationship Id="rId1" Type="http://schemas.openxmlformats.org/officeDocument/2006/relationships/themeOverride" Target="../theme/themeOverride3.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lang="en-US" sz="1600" b="0" i="0" u="none" strike="noStrike" kern="1200" spc="0" baseline="0">
                <a:solidFill>
                  <a:sysClr val="windowText" lastClr="000000"/>
                </a:solidFill>
                <a:latin typeface="+mn-lt"/>
                <a:ea typeface="+mn-ea"/>
                <a:cs typeface="+mn-cs"/>
              </a:defRPr>
            </a:pPr>
            <a:r>
              <a:rPr lang="en-US" sz="1600" b="1" i="0" u="none" strike="noStrike" baseline="0">
                <a:solidFill>
                  <a:sysClr val="windowText" lastClr="000000"/>
                </a:solidFill>
                <a:effectLst/>
              </a:rPr>
              <a:t>Comprehensive and Integrated Infrastructure Program (CIIP), </a:t>
            </a:r>
            <a:r>
              <a:rPr lang="en-PH" sz="1600" b="1" i="0" u="none" strike="noStrike" baseline="0">
                <a:solidFill>
                  <a:sysClr val="windowText" lastClr="000000"/>
                </a:solidFill>
                <a:effectLst/>
              </a:rPr>
              <a:t>by Region </a:t>
            </a:r>
          </a:p>
          <a:p>
            <a:pPr>
              <a:defRPr lang="en-US" sz="1600" b="0" i="0" u="none" strike="noStrike" kern="1200" spc="0" baseline="0">
                <a:solidFill>
                  <a:sysClr val="windowText" lastClr="000000"/>
                </a:solidFill>
                <a:latin typeface="+mn-lt"/>
                <a:ea typeface="+mn-ea"/>
                <a:cs typeface="+mn-cs"/>
              </a:defRPr>
            </a:pPr>
            <a:r>
              <a:rPr lang="en-PH" sz="1600" b="0" i="1" u="none" strike="noStrike" baseline="0">
                <a:solidFill>
                  <a:sysClr val="windowText" lastClr="000000"/>
                </a:solidFill>
                <a:effectLst/>
              </a:rPr>
              <a:t>Investment Costs, In Thousand PhP; Total Investments: PhP7.27 trillion</a:t>
            </a:r>
            <a:endParaRPr lang="en-US" sz="1600" b="0" i="1">
              <a:solidFill>
                <a:sysClr val="windowText" lastClr="000000"/>
              </a:solidFill>
            </a:endParaRPr>
          </a:p>
        </c:rich>
      </c:tx>
      <c:overlay val="0"/>
      <c:spPr>
        <a:noFill/>
        <a:ln w="25400">
          <a:noFill/>
        </a:ln>
      </c:spPr>
    </c:title>
    <c:autoTitleDeleted val="0"/>
    <c:plotArea>
      <c:layout>
        <c:manualLayout>
          <c:layoutTarget val="inner"/>
          <c:xMode val="edge"/>
          <c:yMode val="edge"/>
          <c:x val="0.11315230975969494"/>
          <c:y val="0.10914107388077772"/>
          <c:w val="0.87218503642366541"/>
          <c:h val="0.60942230438463318"/>
        </c:manualLayout>
      </c:layout>
      <c:barChart>
        <c:barDir val="col"/>
        <c:grouping val="stacked"/>
        <c:varyColors val="0"/>
        <c:ser>
          <c:idx val="1"/>
          <c:order val="0"/>
          <c:tx>
            <c:strRef>
              <c:f>'Summary Tables &amp; Charts'!$E$113</c:f>
              <c:strCache>
                <c:ptCount val="1"/>
                <c:pt idx="0">
                  <c:v>2013</c:v>
                </c:pt>
              </c:strCache>
            </c:strRef>
          </c:tx>
          <c:spPr>
            <a:pattFill prst="pct80">
              <a:fgClr>
                <a:schemeClr val="tx1"/>
              </a:fgClr>
              <a:bgClr>
                <a:schemeClr val="bg1"/>
              </a:bgClr>
            </a:pattFill>
            <a:ln>
              <a:solidFill>
                <a:schemeClr val="tx1"/>
              </a:solidFill>
            </a:ln>
            <a:effectLst/>
          </c:spPr>
          <c:invertIfNegative val="0"/>
          <c:cat>
            <c:strRef>
              <c:f>'Summary Tables &amp; Charts'!$C$114:$C$133</c:f>
              <c:strCache>
                <c:ptCount val="20"/>
                <c:pt idx="0">
                  <c:v>Nationwide</c:v>
                </c:pt>
                <c:pt idx="1">
                  <c:v>Interregional/ Multiregional</c:v>
                </c:pt>
                <c:pt idx="2">
                  <c:v>Region Not indicated</c:v>
                </c:pt>
                <c:pt idx="3">
                  <c:v>Region I</c:v>
                </c:pt>
                <c:pt idx="4">
                  <c:v>Region II</c:v>
                </c:pt>
                <c:pt idx="5">
                  <c:v>Region III</c:v>
                </c:pt>
                <c:pt idx="6">
                  <c:v>Region IV-A</c:v>
                </c:pt>
                <c:pt idx="7">
                  <c:v>Region IV-B</c:v>
                </c:pt>
                <c:pt idx="8">
                  <c:v>Region V</c:v>
                </c:pt>
                <c:pt idx="9">
                  <c:v>Region VI and NIR</c:v>
                </c:pt>
                <c:pt idx="10">
                  <c:v>Region VII and NIR</c:v>
                </c:pt>
                <c:pt idx="11">
                  <c:v>Region VIII</c:v>
                </c:pt>
                <c:pt idx="12">
                  <c:v>Region IX</c:v>
                </c:pt>
                <c:pt idx="13">
                  <c:v>Region X</c:v>
                </c:pt>
                <c:pt idx="14">
                  <c:v>Region XI</c:v>
                </c:pt>
                <c:pt idx="15">
                  <c:v>Region XII</c:v>
                </c:pt>
                <c:pt idx="16">
                  <c:v>Region XIII</c:v>
                </c:pt>
                <c:pt idx="17">
                  <c:v>CAR</c:v>
                </c:pt>
                <c:pt idx="18">
                  <c:v>ARMM</c:v>
                </c:pt>
                <c:pt idx="19">
                  <c:v>NCR</c:v>
                </c:pt>
              </c:strCache>
            </c:strRef>
          </c:cat>
          <c:val>
            <c:numRef>
              <c:f>'Summary Tables &amp; Charts'!$E$114:$E$133</c:f>
              <c:numCache>
                <c:formatCode>_(* #,##0.00_);_(* \(#,##0.00\);_(* "-"??_);_(@_)</c:formatCode>
                <c:ptCount val="20"/>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numCache>
            </c:numRef>
          </c:val>
        </c:ser>
        <c:ser>
          <c:idx val="2"/>
          <c:order val="1"/>
          <c:tx>
            <c:strRef>
              <c:f>'Summary Tables &amp; Charts'!$F$113</c:f>
              <c:strCache>
                <c:ptCount val="1"/>
                <c:pt idx="0">
                  <c:v>2014</c:v>
                </c:pt>
              </c:strCache>
            </c:strRef>
          </c:tx>
          <c:spPr>
            <a:pattFill prst="dkUpDiag">
              <a:fgClr>
                <a:schemeClr val="tx1"/>
              </a:fgClr>
              <a:bgClr>
                <a:schemeClr val="bg1"/>
              </a:bgClr>
            </a:pattFill>
            <a:ln>
              <a:solidFill>
                <a:schemeClr val="tx1"/>
              </a:solidFill>
            </a:ln>
            <a:effectLst/>
          </c:spPr>
          <c:invertIfNegative val="0"/>
          <c:cat>
            <c:strRef>
              <c:f>'Summary Tables &amp; Charts'!$C$114:$C$133</c:f>
              <c:strCache>
                <c:ptCount val="20"/>
                <c:pt idx="0">
                  <c:v>Nationwide</c:v>
                </c:pt>
                <c:pt idx="1">
                  <c:v>Interregional/ Multiregional</c:v>
                </c:pt>
                <c:pt idx="2">
                  <c:v>Region Not indicated</c:v>
                </c:pt>
                <c:pt idx="3">
                  <c:v>Region I</c:v>
                </c:pt>
                <c:pt idx="4">
                  <c:v>Region II</c:v>
                </c:pt>
                <c:pt idx="5">
                  <c:v>Region III</c:v>
                </c:pt>
                <c:pt idx="6">
                  <c:v>Region IV-A</c:v>
                </c:pt>
                <c:pt idx="7">
                  <c:v>Region IV-B</c:v>
                </c:pt>
                <c:pt idx="8">
                  <c:v>Region V</c:v>
                </c:pt>
                <c:pt idx="9">
                  <c:v>Region VI and NIR</c:v>
                </c:pt>
                <c:pt idx="10">
                  <c:v>Region VII and NIR</c:v>
                </c:pt>
                <c:pt idx="11">
                  <c:v>Region VIII</c:v>
                </c:pt>
                <c:pt idx="12">
                  <c:v>Region IX</c:v>
                </c:pt>
                <c:pt idx="13">
                  <c:v>Region X</c:v>
                </c:pt>
                <c:pt idx="14">
                  <c:v>Region XI</c:v>
                </c:pt>
                <c:pt idx="15">
                  <c:v>Region XII</c:v>
                </c:pt>
                <c:pt idx="16">
                  <c:v>Region XIII</c:v>
                </c:pt>
                <c:pt idx="17">
                  <c:v>CAR</c:v>
                </c:pt>
                <c:pt idx="18">
                  <c:v>ARMM</c:v>
                </c:pt>
                <c:pt idx="19">
                  <c:v>NCR</c:v>
                </c:pt>
              </c:strCache>
            </c:strRef>
          </c:cat>
          <c:val>
            <c:numRef>
              <c:f>'Summary Tables &amp; Charts'!$F$114:$F$133</c:f>
              <c:numCache>
                <c:formatCode>_(* #,##0.00_);_(* \(#,##0.00\);_(* "-"??_);_(@_)</c:formatCode>
                <c:ptCount val="20"/>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numCache>
            </c:numRef>
          </c:val>
        </c:ser>
        <c:ser>
          <c:idx val="3"/>
          <c:order val="2"/>
          <c:tx>
            <c:strRef>
              <c:f>'Summary Tables &amp; Charts'!$G$113</c:f>
              <c:strCache>
                <c:ptCount val="1"/>
                <c:pt idx="0">
                  <c:v>2015</c:v>
                </c:pt>
              </c:strCache>
            </c:strRef>
          </c:tx>
          <c:spPr>
            <a:solidFill>
              <a:schemeClr val="bg1">
                <a:lumMod val="65000"/>
              </a:schemeClr>
            </a:solidFill>
            <a:ln>
              <a:solidFill>
                <a:schemeClr val="tx1"/>
              </a:solidFill>
            </a:ln>
            <a:effectLst/>
          </c:spPr>
          <c:invertIfNegative val="0"/>
          <c:cat>
            <c:strRef>
              <c:f>'Summary Tables &amp; Charts'!$C$114:$C$133</c:f>
              <c:strCache>
                <c:ptCount val="20"/>
                <c:pt idx="0">
                  <c:v>Nationwide</c:v>
                </c:pt>
                <c:pt idx="1">
                  <c:v>Interregional/ Multiregional</c:v>
                </c:pt>
                <c:pt idx="2">
                  <c:v>Region Not indicated</c:v>
                </c:pt>
                <c:pt idx="3">
                  <c:v>Region I</c:v>
                </c:pt>
                <c:pt idx="4">
                  <c:v>Region II</c:v>
                </c:pt>
                <c:pt idx="5">
                  <c:v>Region III</c:v>
                </c:pt>
                <c:pt idx="6">
                  <c:v>Region IV-A</c:v>
                </c:pt>
                <c:pt idx="7">
                  <c:v>Region IV-B</c:v>
                </c:pt>
                <c:pt idx="8">
                  <c:v>Region V</c:v>
                </c:pt>
                <c:pt idx="9">
                  <c:v>Region VI and NIR</c:v>
                </c:pt>
                <c:pt idx="10">
                  <c:v>Region VII and NIR</c:v>
                </c:pt>
                <c:pt idx="11">
                  <c:v>Region VIII</c:v>
                </c:pt>
                <c:pt idx="12">
                  <c:v>Region IX</c:v>
                </c:pt>
                <c:pt idx="13">
                  <c:v>Region X</c:v>
                </c:pt>
                <c:pt idx="14">
                  <c:v>Region XI</c:v>
                </c:pt>
                <c:pt idx="15">
                  <c:v>Region XII</c:v>
                </c:pt>
                <c:pt idx="16">
                  <c:v>Region XIII</c:v>
                </c:pt>
                <c:pt idx="17">
                  <c:v>CAR</c:v>
                </c:pt>
                <c:pt idx="18">
                  <c:v>ARMM</c:v>
                </c:pt>
                <c:pt idx="19">
                  <c:v>NCR</c:v>
                </c:pt>
              </c:strCache>
            </c:strRef>
          </c:cat>
          <c:val>
            <c:numRef>
              <c:f>'Summary Tables &amp; Charts'!$G$114:$G$133</c:f>
              <c:numCache>
                <c:formatCode>_(* #,##0.00_);_(* \(#,##0.00\);_(* "-"??_);_(@_)</c:formatCode>
                <c:ptCount val="20"/>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numCache>
            </c:numRef>
          </c:val>
        </c:ser>
        <c:ser>
          <c:idx val="4"/>
          <c:order val="3"/>
          <c:tx>
            <c:strRef>
              <c:f>'Summary Tables &amp; Charts'!$H$113</c:f>
              <c:strCache>
                <c:ptCount val="1"/>
                <c:pt idx="0">
                  <c:v>2016</c:v>
                </c:pt>
              </c:strCache>
            </c:strRef>
          </c:tx>
          <c:spPr>
            <a:solidFill>
              <a:schemeClr val="bg1"/>
            </a:solidFill>
            <a:ln>
              <a:solidFill>
                <a:schemeClr val="tx1"/>
              </a:solidFill>
            </a:ln>
            <a:effectLst/>
          </c:spPr>
          <c:invertIfNegative val="0"/>
          <c:cat>
            <c:strRef>
              <c:f>'Summary Tables &amp; Charts'!$C$114:$C$133</c:f>
              <c:strCache>
                <c:ptCount val="20"/>
                <c:pt idx="0">
                  <c:v>Nationwide</c:v>
                </c:pt>
                <c:pt idx="1">
                  <c:v>Interregional/ Multiregional</c:v>
                </c:pt>
                <c:pt idx="2">
                  <c:v>Region Not indicated</c:v>
                </c:pt>
                <c:pt idx="3">
                  <c:v>Region I</c:v>
                </c:pt>
                <c:pt idx="4">
                  <c:v>Region II</c:v>
                </c:pt>
                <c:pt idx="5">
                  <c:v>Region III</c:v>
                </c:pt>
                <c:pt idx="6">
                  <c:v>Region IV-A</c:v>
                </c:pt>
                <c:pt idx="7">
                  <c:v>Region IV-B</c:v>
                </c:pt>
                <c:pt idx="8">
                  <c:v>Region V</c:v>
                </c:pt>
                <c:pt idx="9">
                  <c:v>Region VI and NIR</c:v>
                </c:pt>
                <c:pt idx="10">
                  <c:v>Region VII and NIR</c:v>
                </c:pt>
                <c:pt idx="11">
                  <c:v>Region VIII</c:v>
                </c:pt>
                <c:pt idx="12">
                  <c:v>Region IX</c:v>
                </c:pt>
                <c:pt idx="13">
                  <c:v>Region X</c:v>
                </c:pt>
                <c:pt idx="14">
                  <c:v>Region XI</c:v>
                </c:pt>
                <c:pt idx="15">
                  <c:v>Region XII</c:v>
                </c:pt>
                <c:pt idx="16">
                  <c:v>Region XIII</c:v>
                </c:pt>
                <c:pt idx="17">
                  <c:v>CAR</c:v>
                </c:pt>
                <c:pt idx="18">
                  <c:v>ARMM</c:v>
                </c:pt>
                <c:pt idx="19">
                  <c:v>NCR</c:v>
                </c:pt>
              </c:strCache>
            </c:strRef>
          </c:cat>
          <c:val>
            <c:numRef>
              <c:f>'Summary Tables &amp; Charts'!$H$114:$H$133</c:f>
              <c:numCache>
                <c:formatCode>_(* #,##0.00_);_(* \(#,##0.00\);_(* "-"??_);_(@_)</c:formatCode>
                <c:ptCount val="20"/>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numCache>
            </c:numRef>
          </c:val>
        </c:ser>
        <c:ser>
          <c:idx val="5"/>
          <c:order val="4"/>
          <c:tx>
            <c:strRef>
              <c:f>'Summary Tables &amp; Charts'!$I$113</c:f>
              <c:strCache>
                <c:ptCount val="1"/>
                <c:pt idx="0">
                  <c:v>2017-Beyond</c:v>
                </c:pt>
              </c:strCache>
            </c:strRef>
          </c:tx>
          <c:spPr>
            <a:solidFill>
              <a:schemeClr val="tx1"/>
            </a:solidFill>
            <a:ln>
              <a:solidFill>
                <a:schemeClr val="tx1"/>
              </a:solidFill>
            </a:ln>
            <a:effectLst/>
          </c:spPr>
          <c:invertIfNegative val="0"/>
          <c:cat>
            <c:strRef>
              <c:f>'Summary Tables &amp; Charts'!$C$114:$C$133</c:f>
              <c:strCache>
                <c:ptCount val="20"/>
                <c:pt idx="0">
                  <c:v>Nationwide</c:v>
                </c:pt>
                <c:pt idx="1">
                  <c:v>Interregional/ Multiregional</c:v>
                </c:pt>
                <c:pt idx="2">
                  <c:v>Region Not indicated</c:v>
                </c:pt>
                <c:pt idx="3">
                  <c:v>Region I</c:v>
                </c:pt>
                <c:pt idx="4">
                  <c:v>Region II</c:v>
                </c:pt>
                <c:pt idx="5">
                  <c:v>Region III</c:v>
                </c:pt>
                <c:pt idx="6">
                  <c:v>Region IV-A</c:v>
                </c:pt>
                <c:pt idx="7">
                  <c:v>Region IV-B</c:v>
                </c:pt>
                <c:pt idx="8">
                  <c:v>Region V</c:v>
                </c:pt>
                <c:pt idx="9">
                  <c:v>Region VI and NIR</c:v>
                </c:pt>
                <c:pt idx="10">
                  <c:v>Region VII and NIR</c:v>
                </c:pt>
                <c:pt idx="11">
                  <c:v>Region VIII</c:v>
                </c:pt>
                <c:pt idx="12">
                  <c:v>Region IX</c:v>
                </c:pt>
                <c:pt idx="13">
                  <c:v>Region X</c:v>
                </c:pt>
                <c:pt idx="14">
                  <c:v>Region XI</c:v>
                </c:pt>
                <c:pt idx="15">
                  <c:v>Region XII</c:v>
                </c:pt>
                <c:pt idx="16">
                  <c:v>Region XIII</c:v>
                </c:pt>
                <c:pt idx="17">
                  <c:v>CAR</c:v>
                </c:pt>
                <c:pt idx="18">
                  <c:v>ARMM</c:v>
                </c:pt>
                <c:pt idx="19">
                  <c:v>NCR</c:v>
                </c:pt>
              </c:strCache>
            </c:strRef>
          </c:cat>
          <c:val>
            <c:numRef>
              <c:f>'Summary Tables &amp; Charts'!$I$114:$I$133</c:f>
              <c:numCache>
                <c:formatCode>_(* #,##0.00_);_(* \(#,##0.00\);_(* "-"??_);_(@_)</c:formatCode>
                <c:ptCount val="20"/>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numCache>
            </c:numRef>
          </c:val>
        </c:ser>
        <c:ser>
          <c:idx val="6"/>
          <c:order val="5"/>
          <c:tx>
            <c:strRef>
              <c:f>'Summary Tables &amp; Charts'!$J$113</c:f>
              <c:strCache>
                <c:ptCount val="1"/>
                <c:pt idx="0">
                  <c:v>No Annual Breakdown</c:v>
                </c:pt>
              </c:strCache>
            </c:strRef>
          </c:tx>
          <c:spPr>
            <a:pattFill prst="narVert">
              <a:fgClr>
                <a:schemeClr val="tx1"/>
              </a:fgClr>
              <a:bgClr>
                <a:schemeClr val="bg1"/>
              </a:bgClr>
            </a:pattFill>
            <a:ln>
              <a:solidFill>
                <a:schemeClr val="tx1"/>
              </a:solidFill>
            </a:ln>
            <a:effectLst/>
          </c:spPr>
          <c:invertIfNegative val="0"/>
          <c:cat>
            <c:strRef>
              <c:f>'Summary Tables &amp; Charts'!$C$114:$C$133</c:f>
              <c:strCache>
                <c:ptCount val="20"/>
                <c:pt idx="0">
                  <c:v>Nationwide</c:v>
                </c:pt>
                <c:pt idx="1">
                  <c:v>Interregional/ Multiregional</c:v>
                </c:pt>
                <c:pt idx="2">
                  <c:v>Region Not indicated</c:v>
                </c:pt>
                <c:pt idx="3">
                  <c:v>Region I</c:v>
                </c:pt>
                <c:pt idx="4">
                  <c:v>Region II</c:v>
                </c:pt>
                <c:pt idx="5">
                  <c:v>Region III</c:v>
                </c:pt>
                <c:pt idx="6">
                  <c:v>Region IV-A</c:v>
                </c:pt>
                <c:pt idx="7">
                  <c:v>Region IV-B</c:v>
                </c:pt>
                <c:pt idx="8">
                  <c:v>Region V</c:v>
                </c:pt>
                <c:pt idx="9">
                  <c:v>Region VI and NIR</c:v>
                </c:pt>
                <c:pt idx="10">
                  <c:v>Region VII and NIR</c:v>
                </c:pt>
                <c:pt idx="11">
                  <c:v>Region VIII</c:v>
                </c:pt>
                <c:pt idx="12">
                  <c:v>Region IX</c:v>
                </c:pt>
                <c:pt idx="13">
                  <c:v>Region X</c:v>
                </c:pt>
                <c:pt idx="14">
                  <c:v>Region XI</c:v>
                </c:pt>
                <c:pt idx="15">
                  <c:v>Region XII</c:v>
                </c:pt>
                <c:pt idx="16">
                  <c:v>Region XIII</c:v>
                </c:pt>
                <c:pt idx="17">
                  <c:v>CAR</c:v>
                </c:pt>
                <c:pt idx="18">
                  <c:v>ARMM</c:v>
                </c:pt>
                <c:pt idx="19">
                  <c:v>NCR</c:v>
                </c:pt>
              </c:strCache>
            </c:strRef>
          </c:cat>
          <c:val>
            <c:numRef>
              <c:f>'Summary Tables &amp; Charts'!$J$114:$J$133</c:f>
              <c:numCache>
                <c:formatCode>_(* #,##0.00_);_(* \(#,##0.00\);_(* "-"??_);_(@_)</c:formatCode>
                <c:ptCount val="20"/>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numCache>
            </c:numRef>
          </c:val>
        </c:ser>
        <c:dLbls>
          <c:showLegendKey val="0"/>
          <c:showVal val="0"/>
          <c:showCatName val="0"/>
          <c:showSerName val="0"/>
          <c:showPercent val="0"/>
          <c:showBubbleSize val="0"/>
        </c:dLbls>
        <c:gapWidth val="150"/>
        <c:overlap val="100"/>
        <c:axId val="307903960"/>
        <c:axId val="307906704"/>
      </c:barChart>
      <c:catAx>
        <c:axId val="30790396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lang="en-US" sz="1200" b="0" i="0" u="none" strike="noStrike" kern="1200" baseline="0">
                <a:solidFill>
                  <a:schemeClr val="tx1">
                    <a:lumMod val="65000"/>
                    <a:lumOff val="35000"/>
                  </a:schemeClr>
                </a:solidFill>
                <a:latin typeface="+mn-lt"/>
                <a:ea typeface="+mn-ea"/>
                <a:cs typeface="+mn-cs"/>
              </a:defRPr>
            </a:pPr>
            <a:endParaRPr lang="en-US"/>
          </a:p>
        </c:txPr>
        <c:crossAx val="307906704"/>
        <c:crosses val="autoZero"/>
        <c:auto val="1"/>
        <c:lblAlgn val="ctr"/>
        <c:lblOffset val="100"/>
        <c:noMultiLvlLbl val="0"/>
      </c:catAx>
      <c:valAx>
        <c:axId val="307906704"/>
        <c:scaling>
          <c:orientation val="minMax"/>
        </c:scaling>
        <c:delete val="0"/>
        <c:axPos val="l"/>
        <c:majorGridlines>
          <c:spPr>
            <a:ln w="9525" cap="flat" cmpd="sng" algn="ctr">
              <a:solidFill>
                <a:schemeClr val="tx1">
                  <a:lumMod val="15000"/>
                  <a:lumOff val="85000"/>
                </a:schemeClr>
              </a:solidFill>
              <a:round/>
            </a:ln>
            <a:effectLst/>
          </c:spPr>
        </c:majorGridlines>
        <c:numFmt formatCode="_(* #,##0.00_);_(* \(#,##0.00\);_(* &quot;-&quot;??_);_(@_)" sourceLinked="1"/>
        <c:majorTickMark val="none"/>
        <c:minorTickMark val="none"/>
        <c:tickLblPos val="nextTo"/>
        <c:spPr>
          <a:ln w="6350">
            <a:noFill/>
          </a:ln>
        </c:spPr>
        <c:txPr>
          <a:bodyPr rot="-60000000" spcFirstLastPara="1" vertOverflow="ellipsis" vert="horz" wrap="square" anchor="ctr" anchorCtr="1"/>
          <a:lstStyle/>
          <a:p>
            <a:pPr>
              <a:defRPr lang="en-US" sz="1200" b="0" i="0" u="none" strike="noStrike" kern="1200" baseline="0">
                <a:solidFill>
                  <a:schemeClr val="tx1">
                    <a:lumMod val="65000"/>
                    <a:lumOff val="35000"/>
                  </a:schemeClr>
                </a:solidFill>
                <a:latin typeface="+mn-lt"/>
                <a:ea typeface="+mn-ea"/>
                <a:cs typeface="+mn-cs"/>
              </a:defRPr>
            </a:pPr>
            <a:endParaRPr lang="en-US"/>
          </a:p>
        </c:txPr>
        <c:crossAx val="307903960"/>
        <c:crosses val="autoZero"/>
        <c:crossBetween val="between"/>
      </c:valAx>
      <c:spPr>
        <a:noFill/>
        <a:ln w="25400">
          <a:noFill/>
        </a:ln>
      </c:spPr>
    </c:plotArea>
    <c:legend>
      <c:legendPos val="b"/>
      <c:layout>
        <c:manualLayout>
          <c:xMode val="edge"/>
          <c:yMode val="edge"/>
          <c:x val="0.26123446308551557"/>
          <c:y val="0.90400029427092921"/>
          <c:w val="0.49850246166777284"/>
          <c:h val="7.2000023437507624E-2"/>
        </c:manualLayout>
      </c:layout>
      <c:overlay val="0"/>
      <c:spPr>
        <a:solidFill>
          <a:schemeClr val="bg1">
            <a:lumMod val="95000"/>
          </a:schemeClr>
        </a:solidFill>
        <a:ln>
          <a:solidFill>
            <a:schemeClr val="tx1"/>
          </a:solidFill>
        </a:ln>
        <a:effectLst/>
      </c:spPr>
      <c:txPr>
        <a:bodyPr rot="0" spcFirstLastPara="1" vertOverflow="ellipsis" vert="horz" wrap="square" anchor="ctr" anchorCtr="1"/>
        <a:lstStyle/>
        <a:p>
          <a:pPr>
            <a:defRPr lang="en-US"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pPr>
      <a:endParaRPr lang="en-US"/>
    </a:p>
  </c:txPr>
  <c:printSettings>
    <c:headerFooter/>
    <c:pageMargins b="0.75000000000000022" l="0.70000000000000018" r="0.70000000000000018" t="0.75000000000000022" header="0.3000000000000001" footer="0.3000000000000001"/>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vert="horz"/>
          <a:lstStyle/>
          <a:p>
            <a:pPr>
              <a:defRPr lang="en-US"/>
            </a:pPr>
            <a:r>
              <a:rPr lang="en-US"/>
              <a:t>Comprehensive and Integrated Infrastructure Program (CIIP), by Sector</a:t>
            </a:r>
          </a:p>
          <a:p>
            <a:pPr>
              <a:defRPr lang="en-US"/>
            </a:pPr>
            <a:r>
              <a:rPr lang="en-US" b="0">
                <a:solidFill>
                  <a:schemeClr val="tx1"/>
                </a:solidFill>
              </a:rPr>
              <a:t>Investment Costs, In Thousand PhP; Total Investments: PhP7.27 trillion</a:t>
            </a:r>
          </a:p>
        </c:rich>
      </c:tx>
      <c:overlay val="0"/>
      <c:spPr>
        <a:noFill/>
        <a:ln w="25400">
          <a:noFill/>
        </a:ln>
      </c:spPr>
    </c:title>
    <c:autoTitleDeleted val="0"/>
    <c:plotArea>
      <c:layout/>
      <c:barChart>
        <c:barDir val="col"/>
        <c:grouping val="clustered"/>
        <c:varyColors val="0"/>
        <c:ser>
          <c:idx val="1"/>
          <c:order val="0"/>
          <c:tx>
            <c:strRef>
              <c:f>'Summary Tables &amp; Charts'!$E$302</c:f>
              <c:strCache>
                <c:ptCount val="1"/>
                <c:pt idx="0">
                  <c:v>2013</c:v>
                </c:pt>
              </c:strCache>
            </c:strRef>
          </c:tx>
          <c:spPr>
            <a:pattFill prst="smGrid">
              <a:fgClr>
                <a:schemeClr val="tx1"/>
              </a:fgClr>
              <a:bgClr>
                <a:schemeClr val="bg1"/>
              </a:bgClr>
            </a:pattFill>
            <a:ln>
              <a:solidFill>
                <a:schemeClr val="tx1"/>
              </a:solidFill>
            </a:ln>
            <a:effectLst/>
          </c:spPr>
          <c:invertIfNegative val="0"/>
          <c:cat>
            <c:strRef>
              <c:f>'Summary Tables &amp; Charts'!$C$303:$C$308</c:f>
              <c:strCache>
                <c:ptCount val="6"/>
                <c:pt idx="0">
                  <c:v>ICT</c:v>
                </c:pt>
                <c:pt idx="1">
                  <c:v>Other Public Infrastructure</c:v>
                </c:pt>
                <c:pt idx="2">
                  <c:v>Water Resources</c:v>
                </c:pt>
                <c:pt idx="3">
                  <c:v>Energy</c:v>
                </c:pt>
                <c:pt idx="4">
                  <c:v>Social Infrastructure</c:v>
                </c:pt>
                <c:pt idx="5">
                  <c:v>Transportation</c:v>
                </c:pt>
              </c:strCache>
            </c:strRef>
          </c:cat>
          <c:val>
            <c:numRef>
              <c:f>'Summary Tables &amp; Charts'!$E$303:$E$308</c:f>
              <c:numCache>
                <c:formatCode>_(* #,##0.00_);_(* \(#,##0.00\);_(* "-"??_);_(@_)</c:formatCode>
                <c:ptCount val="6"/>
                <c:pt idx="0">
                  <c:v>0</c:v>
                </c:pt>
                <c:pt idx="1">
                  <c:v>0</c:v>
                </c:pt>
                <c:pt idx="2">
                  <c:v>0</c:v>
                </c:pt>
                <c:pt idx="3">
                  <c:v>0</c:v>
                </c:pt>
                <c:pt idx="4">
                  <c:v>0</c:v>
                </c:pt>
                <c:pt idx="5">
                  <c:v>0</c:v>
                </c:pt>
              </c:numCache>
            </c:numRef>
          </c:val>
        </c:ser>
        <c:ser>
          <c:idx val="2"/>
          <c:order val="1"/>
          <c:tx>
            <c:strRef>
              <c:f>'Summary Tables &amp; Charts'!$F$302</c:f>
              <c:strCache>
                <c:ptCount val="1"/>
                <c:pt idx="0">
                  <c:v>2014</c:v>
                </c:pt>
              </c:strCache>
            </c:strRef>
          </c:tx>
          <c:spPr>
            <a:pattFill prst="ltDnDiag">
              <a:fgClr>
                <a:schemeClr val="tx1"/>
              </a:fgClr>
              <a:bgClr>
                <a:schemeClr val="bg1"/>
              </a:bgClr>
            </a:pattFill>
            <a:ln>
              <a:solidFill>
                <a:schemeClr val="tx1"/>
              </a:solidFill>
            </a:ln>
            <a:effectLst/>
          </c:spPr>
          <c:invertIfNegative val="0"/>
          <c:cat>
            <c:strRef>
              <c:f>'Summary Tables &amp; Charts'!$C$303:$C$308</c:f>
              <c:strCache>
                <c:ptCount val="6"/>
                <c:pt idx="0">
                  <c:v>ICT</c:v>
                </c:pt>
                <c:pt idx="1">
                  <c:v>Other Public Infrastructure</c:v>
                </c:pt>
                <c:pt idx="2">
                  <c:v>Water Resources</c:v>
                </c:pt>
                <c:pt idx="3">
                  <c:v>Energy</c:v>
                </c:pt>
                <c:pt idx="4">
                  <c:v>Social Infrastructure</c:v>
                </c:pt>
                <c:pt idx="5">
                  <c:v>Transportation</c:v>
                </c:pt>
              </c:strCache>
            </c:strRef>
          </c:cat>
          <c:val>
            <c:numRef>
              <c:f>'Summary Tables &amp; Charts'!$F$303:$F$308</c:f>
              <c:numCache>
                <c:formatCode>_(* #,##0.00_);_(* \(#,##0.00\);_(* "-"??_);_(@_)</c:formatCode>
                <c:ptCount val="6"/>
                <c:pt idx="0">
                  <c:v>0</c:v>
                </c:pt>
                <c:pt idx="1">
                  <c:v>0</c:v>
                </c:pt>
                <c:pt idx="2">
                  <c:v>0</c:v>
                </c:pt>
                <c:pt idx="3">
                  <c:v>0</c:v>
                </c:pt>
                <c:pt idx="4">
                  <c:v>0</c:v>
                </c:pt>
                <c:pt idx="5">
                  <c:v>0</c:v>
                </c:pt>
              </c:numCache>
            </c:numRef>
          </c:val>
        </c:ser>
        <c:ser>
          <c:idx val="3"/>
          <c:order val="2"/>
          <c:tx>
            <c:strRef>
              <c:f>'Summary Tables &amp; Charts'!$G$302</c:f>
              <c:strCache>
                <c:ptCount val="1"/>
                <c:pt idx="0">
                  <c:v>2015</c:v>
                </c:pt>
              </c:strCache>
            </c:strRef>
          </c:tx>
          <c:spPr>
            <a:pattFill prst="pct10">
              <a:fgClr>
                <a:schemeClr val="tx1"/>
              </a:fgClr>
              <a:bgClr>
                <a:schemeClr val="bg1"/>
              </a:bgClr>
            </a:pattFill>
            <a:ln>
              <a:solidFill>
                <a:schemeClr val="tx1"/>
              </a:solidFill>
            </a:ln>
            <a:effectLst/>
          </c:spPr>
          <c:invertIfNegative val="0"/>
          <c:cat>
            <c:strRef>
              <c:f>'Summary Tables &amp; Charts'!$C$303:$C$308</c:f>
              <c:strCache>
                <c:ptCount val="6"/>
                <c:pt idx="0">
                  <c:v>ICT</c:v>
                </c:pt>
                <c:pt idx="1">
                  <c:v>Other Public Infrastructure</c:v>
                </c:pt>
                <c:pt idx="2">
                  <c:v>Water Resources</c:v>
                </c:pt>
                <c:pt idx="3">
                  <c:v>Energy</c:v>
                </c:pt>
                <c:pt idx="4">
                  <c:v>Social Infrastructure</c:v>
                </c:pt>
                <c:pt idx="5">
                  <c:v>Transportation</c:v>
                </c:pt>
              </c:strCache>
            </c:strRef>
          </c:cat>
          <c:val>
            <c:numRef>
              <c:f>'Summary Tables &amp; Charts'!$G$303:$G$308</c:f>
              <c:numCache>
                <c:formatCode>_(* #,##0.00_);_(* \(#,##0.00\);_(* "-"??_);_(@_)</c:formatCode>
                <c:ptCount val="6"/>
                <c:pt idx="0">
                  <c:v>0</c:v>
                </c:pt>
                <c:pt idx="1">
                  <c:v>0</c:v>
                </c:pt>
                <c:pt idx="2">
                  <c:v>0</c:v>
                </c:pt>
                <c:pt idx="3">
                  <c:v>0</c:v>
                </c:pt>
                <c:pt idx="4">
                  <c:v>0</c:v>
                </c:pt>
                <c:pt idx="5">
                  <c:v>0</c:v>
                </c:pt>
              </c:numCache>
            </c:numRef>
          </c:val>
        </c:ser>
        <c:ser>
          <c:idx val="4"/>
          <c:order val="3"/>
          <c:tx>
            <c:strRef>
              <c:f>'Summary Tables &amp; Charts'!$H$302</c:f>
              <c:strCache>
                <c:ptCount val="1"/>
                <c:pt idx="0">
                  <c:v>2016</c:v>
                </c:pt>
              </c:strCache>
            </c:strRef>
          </c:tx>
          <c:spPr>
            <a:solidFill>
              <a:schemeClr val="tx1"/>
            </a:solidFill>
            <a:ln>
              <a:solidFill>
                <a:schemeClr val="tx1"/>
              </a:solidFill>
            </a:ln>
            <a:effectLst/>
          </c:spPr>
          <c:invertIfNegative val="0"/>
          <c:cat>
            <c:strRef>
              <c:f>'Summary Tables &amp; Charts'!$C$303:$C$308</c:f>
              <c:strCache>
                <c:ptCount val="6"/>
                <c:pt idx="0">
                  <c:v>ICT</c:v>
                </c:pt>
                <c:pt idx="1">
                  <c:v>Other Public Infrastructure</c:v>
                </c:pt>
                <c:pt idx="2">
                  <c:v>Water Resources</c:v>
                </c:pt>
                <c:pt idx="3">
                  <c:v>Energy</c:v>
                </c:pt>
                <c:pt idx="4">
                  <c:v>Social Infrastructure</c:v>
                </c:pt>
                <c:pt idx="5">
                  <c:v>Transportation</c:v>
                </c:pt>
              </c:strCache>
            </c:strRef>
          </c:cat>
          <c:val>
            <c:numRef>
              <c:f>'Summary Tables &amp; Charts'!$H$303:$H$308</c:f>
              <c:numCache>
                <c:formatCode>_(* #,##0.00_);_(* \(#,##0.00\);_(* "-"??_);_(@_)</c:formatCode>
                <c:ptCount val="6"/>
                <c:pt idx="0">
                  <c:v>0</c:v>
                </c:pt>
                <c:pt idx="1">
                  <c:v>0</c:v>
                </c:pt>
                <c:pt idx="2">
                  <c:v>0</c:v>
                </c:pt>
                <c:pt idx="3">
                  <c:v>0</c:v>
                </c:pt>
                <c:pt idx="4">
                  <c:v>0</c:v>
                </c:pt>
                <c:pt idx="5">
                  <c:v>0</c:v>
                </c:pt>
              </c:numCache>
            </c:numRef>
          </c:val>
        </c:ser>
        <c:ser>
          <c:idx val="5"/>
          <c:order val="4"/>
          <c:tx>
            <c:strRef>
              <c:f>'Summary Tables &amp; Charts'!$I$302</c:f>
              <c:strCache>
                <c:ptCount val="1"/>
                <c:pt idx="0">
                  <c:v>2017-Beyond</c:v>
                </c:pt>
              </c:strCache>
            </c:strRef>
          </c:tx>
          <c:spPr>
            <a:solidFill>
              <a:schemeClr val="bg1"/>
            </a:solidFill>
            <a:ln>
              <a:solidFill>
                <a:sysClr val="windowText" lastClr="000000"/>
              </a:solidFill>
            </a:ln>
            <a:effectLst/>
          </c:spPr>
          <c:invertIfNegative val="0"/>
          <c:cat>
            <c:strRef>
              <c:f>'Summary Tables &amp; Charts'!$C$303:$C$308</c:f>
              <c:strCache>
                <c:ptCount val="6"/>
                <c:pt idx="0">
                  <c:v>ICT</c:v>
                </c:pt>
                <c:pt idx="1">
                  <c:v>Other Public Infrastructure</c:v>
                </c:pt>
                <c:pt idx="2">
                  <c:v>Water Resources</c:v>
                </c:pt>
                <c:pt idx="3">
                  <c:v>Energy</c:v>
                </c:pt>
                <c:pt idx="4">
                  <c:v>Social Infrastructure</c:v>
                </c:pt>
                <c:pt idx="5">
                  <c:v>Transportation</c:v>
                </c:pt>
              </c:strCache>
            </c:strRef>
          </c:cat>
          <c:val>
            <c:numRef>
              <c:f>'Summary Tables &amp; Charts'!$I$303:$I$308</c:f>
              <c:numCache>
                <c:formatCode>_(* #,##0.00_);_(* \(#,##0.00\);_(* "-"??_);_(@_)</c:formatCode>
                <c:ptCount val="6"/>
                <c:pt idx="0">
                  <c:v>0</c:v>
                </c:pt>
                <c:pt idx="1">
                  <c:v>0</c:v>
                </c:pt>
                <c:pt idx="2">
                  <c:v>0</c:v>
                </c:pt>
                <c:pt idx="3">
                  <c:v>0</c:v>
                </c:pt>
                <c:pt idx="4">
                  <c:v>0</c:v>
                </c:pt>
                <c:pt idx="5">
                  <c:v>0</c:v>
                </c:pt>
              </c:numCache>
            </c:numRef>
          </c:val>
        </c:ser>
        <c:ser>
          <c:idx val="6"/>
          <c:order val="5"/>
          <c:tx>
            <c:strRef>
              <c:f>'Summary Tables &amp; Charts'!$J$302</c:f>
              <c:strCache>
                <c:ptCount val="1"/>
                <c:pt idx="0">
                  <c:v>No Annual Breakdown</c:v>
                </c:pt>
              </c:strCache>
            </c:strRef>
          </c:tx>
          <c:spPr>
            <a:solidFill>
              <a:schemeClr val="bg1">
                <a:lumMod val="65000"/>
              </a:schemeClr>
            </a:solidFill>
            <a:ln>
              <a:solidFill>
                <a:schemeClr val="tx1"/>
              </a:solidFill>
            </a:ln>
            <a:effectLst/>
          </c:spPr>
          <c:invertIfNegative val="0"/>
          <c:cat>
            <c:strRef>
              <c:f>'Summary Tables &amp; Charts'!$C$303:$C$308</c:f>
              <c:strCache>
                <c:ptCount val="6"/>
                <c:pt idx="0">
                  <c:v>ICT</c:v>
                </c:pt>
                <c:pt idx="1">
                  <c:v>Other Public Infrastructure</c:v>
                </c:pt>
                <c:pt idx="2">
                  <c:v>Water Resources</c:v>
                </c:pt>
                <c:pt idx="3">
                  <c:v>Energy</c:v>
                </c:pt>
                <c:pt idx="4">
                  <c:v>Social Infrastructure</c:v>
                </c:pt>
                <c:pt idx="5">
                  <c:v>Transportation</c:v>
                </c:pt>
              </c:strCache>
            </c:strRef>
          </c:cat>
          <c:val>
            <c:numRef>
              <c:f>'Summary Tables &amp; Charts'!$J$303:$J$308</c:f>
              <c:numCache>
                <c:formatCode>_(* #,##0.00_);_(* \(#,##0.00\);_(* "-"??_);_(@_)</c:formatCode>
                <c:ptCount val="6"/>
                <c:pt idx="0">
                  <c:v>0</c:v>
                </c:pt>
                <c:pt idx="1">
                  <c:v>0</c:v>
                </c:pt>
                <c:pt idx="2">
                  <c:v>0</c:v>
                </c:pt>
                <c:pt idx="3">
                  <c:v>0</c:v>
                </c:pt>
                <c:pt idx="4">
                  <c:v>0</c:v>
                </c:pt>
                <c:pt idx="5">
                  <c:v>0</c:v>
                </c:pt>
              </c:numCache>
            </c:numRef>
          </c:val>
        </c:ser>
        <c:dLbls>
          <c:showLegendKey val="0"/>
          <c:showVal val="0"/>
          <c:showCatName val="0"/>
          <c:showSerName val="0"/>
          <c:showPercent val="0"/>
          <c:showBubbleSize val="0"/>
        </c:dLbls>
        <c:gapWidth val="150"/>
        <c:axId val="334580920"/>
        <c:axId val="334576608"/>
      </c:barChart>
      <c:catAx>
        <c:axId val="33458092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vert="horz"/>
          <a:lstStyle/>
          <a:p>
            <a:pPr>
              <a:defRPr lang="en-US"/>
            </a:pPr>
            <a:endParaRPr lang="en-US"/>
          </a:p>
        </c:txPr>
        <c:crossAx val="334576608"/>
        <c:crosses val="autoZero"/>
        <c:auto val="1"/>
        <c:lblAlgn val="ctr"/>
        <c:lblOffset val="100"/>
        <c:noMultiLvlLbl val="0"/>
      </c:catAx>
      <c:valAx>
        <c:axId val="334576608"/>
        <c:scaling>
          <c:orientation val="minMax"/>
        </c:scaling>
        <c:delete val="0"/>
        <c:axPos val="l"/>
        <c:majorGridlines/>
        <c:numFmt formatCode="_(* #,##0.00_);_(* \(#,##0.00\);_(* &quot;-&quot;??_);_(@_)" sourceLinked="1"/>
        <c:majorTickMark val="none"/>
        <c:minorTickMark val="none"/>
        <c:tickLblPos val="nextTo"/>
        <c:spPr>
          <a:ln w="6350">
            <a:noFill/>
          </a:ln>
        </c:spPr>
        <c:txPr>
          <a:bodyPr rot="-60000000" vert="horz"/>
          <a:lstStyle/>
          <a:p>
            <a:pPr>
              <a:defRPr lang="en-US">
                <a:solidFill>
                  <a:schemeClr val="tx1"/>
                </a:solidFill>
              </a:defRPr>
            </a:pPr>
            <a:endParaRPr lang="en-US"/>
          </a:p>
        </c:txPr>
        <c:crossAx val="334580920"/>
        <c:crosses val="autoZero"/>
        <c:crossBetween val="between"/>
      </c:valAx>
      <c:dTable>
        <c:showHorzBorder val="1"/>
        <c:showVertBorder val="1"/>
        <c:showOutline val="1"/>
        <c:showKeys val="1"/>
        <c:spPr>
          <a:noFill/>
          <a:ln w="9525" cap="flat" cmpd="sng" algn="ctr">
            <a:solidFill>
              <a:schemeClr val="bg1"/>
            </a:solidFill>
            <a:round/>
          </a:ln>
          <a:effectLst/>
        </c:spPr>
        <c:txPr>
          <a:bodyPr rot="0" vert="horz"/>
          <a:lstStyle/>
          <a:p>
            <a:pPr rtl="0">
              <a:defRPr lang="en-US">
                <a:solidFill>
                  <a:schemeClr val="tx1"/>
                </a:solidFill>
              </a:defRPr>
            </a:pPr>
            <a:endParaRPr lang="en-US"/>
          </a:p>
        </c:txPr>
      </c:dTable>
      <c:spPr>
        <a:noFill/>
        <a:ln w="25400">
          <a:noFill/>
        </a:ln>
      </c:spPr>
    </c:plotArea>
    <c:plotVisOnly val="1"/>
    <c:dispBlanksAs val="gap"/>
    <c:showDLblsOverMax val="0"/>
  </c:chart>
  <c:spPr>
    <a:solidFill>
      <a:schemeClr val="bg1"/>
    </a:solidFill>
    <a:ln w="9525" cap="flat" cmpd="sng" algn="ctr">
      <a:solidFill>
        <a:schemeClr val="tx1"/>
      </a:solidFill>
      <a:round/>
    </a:ln>
    <a:effectLst/>
  </c:spPr>
  <c:txPr>
    <a:bodyPr/>
    <a:lstStyle/>
    <a:p>
      <a:pPr>
        <a:defRPr sz="1050">
          <a:solidFill>
            <a:srgbClr val="002060"/>
          </a:solidFill>
          <a:latin typeface="Arial" panose="020B0604020202020204" pitchFamily="34" charset="0"/>
          <a:cs typeface="Arial" panose="020B0604020202020204" pitchFamily="34" charset="0"/>
        </a:defRPr>
      </a:pPr>
      <a:endParaRPr lang="en-US"/>
    </a:p>
  </c:txPr>
  <c:printSettings>
    <c:headerFooter/>
    <c:pageMargins b="0.75000000000000022" l="0.70000000000000018" r="0.70000000000000018" t="0.75000000000000022" header="0.3000000000000001" footer="0.3000000000000001"/>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lang="en-US" sz="1600" b="0" i="0" u="none" strike="noStrike" kern="1200" spc="0" baseline="0">
                <a:solidFill>
                  <a:sysClr val="windowText" lastClr="000000"/>
                </a:solidFill>
                <a:latin typeface="+mn-lt"/>
                <a:ea typeface="+mn-ea"/>
                <a:cs typeface="+mn-cs"/>
              </a:defRPr>
            </a:pPr>
            <a:r>
              <a:rPr lang="en-US" sz="1600" b="1" i="0" u="none" strike="noStrike" baseline="0">
                <a:solidFill>
                  <a:sysClr val="windowText" lastClr="000000"/>
                </a:solidFill>
                <a:effectLst/>
              </a:rPr>
              <a:t>Comprehensive and Integrated Infrastructure Program (CIIP), </a:t>
            </a:r>
            <a:r>
              <a:rPr lang="en-PH" sz="1600" b="1" i="0" u="none" strike="noStrike" baseline="0">
                <a:solidFill>
                  <a:sysClr val="windowText" lastClr="000000"/>
                </a:solidFill>
                <a:effectLst/>
              </a:rPr>
              <a:t>by Region </a:t>
            </a:r>
          </a:p>
          <a:p>
            <a:pPr>
              <a:defRPr lang="en-US" sz="1600" b="0" i="0" u="none" strike="noStrike" kern="1200" spc="0" baseline="0">
                <a:solidFill>
                  <a:sysClr val="windowText" lastClr="000000"/>
                </a:solidFill>
                <a:latin typeface="+mn-lt"/>
                <a:ea typeface="+mn-ea"/>
                <a:cs typeface="+mn-cs"/>
              </a:defRPr>
            </a:pPr>
            <a:r>
              <a:rPr lang="en-PH" sz="1600" b="0" i="1" u="none" strike="noStrike" baseline="0">
                <a:solidFill>
                  <a:sysClr val="windowText" lastClr="000000"/>
                </a:solidFill>
                <a:effectLst/>
              </a:rPr>
              <a:t>Investment Costs, In Thousand PhP; Total Investments: PhP7.27 trillion</a:t>
            </a:r>
            <a:endParaRPr lang="en-US" sz="1600" b="0" i="1">
              <a:solidFill>
                <a:sysClr val="windowText" lastClr="000000"/>
              </a:solidFill>
            </a:endParaRPr>
          </a:p>
        </c:rich>
      </c:tx>
      <c:overlay val="0"/>
      <c:spPr>
        <a:noFill/>
        <a:ln w="25400">
          <a:noFill/>
        </a:ln>
      </c:spPr>
    </c:title>
    <c:autoTitleDeleted val="0"/>
    <c:plotArea>
      <c:layout>
        <c:manualLayout>
          <c:layoutTarget val="inner"/>
          <c:xMode val="edge"/>
          <c:yMode val="edge"/>
          <c:x val="0.11315230975969494"/>
          <c:y val="0.10914107388077772"/>
          <c:w val="0.87218503642366541"/>
          <c:h val="0.60942230438463318"/>
        </c:manualLayout>
      </c:layout>
      <c:barChart>
        <c:barDir val="col"/>
        <c:grouping val="stacked"/>
        <c:varyColors val="0"/>
        <c:ser>
          <c:idx val="1"/>
          <c:order val="0"/>
          <c:tx>
            <c:strRef>
              <c:f>'Summary Tables &amp; Charts'!$E$113</c:f>
              <c:strCache>
                <c:ptCount val="1"/>
                <c:pt idx="0">
                  <c:v>2013</c:v>
                </c:pt>
              </c:strCache>
            </c:strRef>
          </c:tx>
          <c:spPr>
            <a:solidFill>
              <a:srgbClr val="FFC000"/>
            </a:solidFill>
            <a:ln>
              <a:solidFill>
                <a:schemeClr val="tx1"/>
              </a:solidFill>
            </a:ln>
            <a:effectLst/>
          </c:spPr>
          <c:invertIfNegative val="0"/>
          <c:cat>
            <c:strRef>
              <c:f>'Summary Tables &amp; Charts'!$C$114:$C$133</c:f>
              <c:strCache>
                <c:ptCount val="20"/>
                <c:pt idx="0">
                  <c:v>Nationwide</c:v>
                </c:pt>
                <c:pt idx="1">
                  <c:v>Interregional/ Multiregional</c:v>
                </c:pt>
                <c:pt idx="2">
                  <c:v>Region Not indicated</c:v>
                </c:pt>
                <c:pt idx="3">
                  <c:v>Region I</c:v>
                </c:pt>
                <c:pt idx="4">
                  <c:v>Region II</c:v>
                </c:pt>
                <c:pt idx="5">
                  <c:v>Region III</c:v>
                </c:pt>
                <c:pt idx="6">
                  <c:v>Region IV-A</c:v>
                </c:pt>
                <c:pt idx="7">
                  <c:v>Region IV-B</c:v>
                </c:pt>
                <c:pt idx="8">
                  <c:v>Region V</c:v>
                </c:pt>
                <c:pt idx="9">
                  <c:v>Region VI and NIR</c:v>
                </c:pt>
                <c:pt idx="10">
                  <c:v>Region VII and NIR</c:v>
                </c:pt>
                <c:pt idx="11">
                  <c:v>Region VIII</c:v>
                </c:pt>
                <c:pt idx="12">
                  <c:v>Region IX</c:v>
                </c:pt>
                <c:pt idx="13">
                  <c:v>Region X</c:v>
                </c:pt>
                <c:pt idx="14">
                  <c:v>Region XI</c:v>
                </c:pt>
                <c:pt idx="15">
                  <c:v>Region XII</c:v>
                </c:pt>
                <c:pt idx="16">
                  <c:v>Region XIII</c:v>
                </c:pt>
                <c:pt idx="17">
                  <c:v>CAR</c:v>
                </c:pt>
                <c:pt idx="18">
                  <c:v>ARMM</c:v>
                </c:pt>
                <c:pt idx="19">
                  <c:v>NCR</c:v>
                </c:pt>
              </c:strCache>
            </c:strRef>
          </c:cat>
          <c:val>
            <c:numRef>
              <c:f>'Summary Tables &amp; Charts'!$E$114:$E$133</c:f>
              <c:numCache>
                <c:formatCode>_(* #,##0.00_);_(* \(#,##0.00\);_(* "-"??_);_(@_)</c:formatCode>
                <c:ptCount val="20"/>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numCache>
            </c:numRef>
          </c:val>
        </c:ser>
        <c:ser>
          <c:idx val="2"/>
          <c:order val="1"/>
          <c:tx>
            <c:strRef>
              <c:f>'Summary Tables &amp; Charts'!$F$113</c:f>
              <c:strCache>
                <c:ptCount val="1"/>
                <c:pt idx="0">
                  <c:v>2014</c:v>
                </c:pt>
              </c:strCache>
            </c:strRef>
          </c:tx>
          <c:spPr>
            <a:solidFill>
              <a:srgbClr val="0070C0"/>
            </a:solidFill>
            <a:ln>
              <a:solidFill>
                <a:schemeClr val="tx1"/>
              </a:solidFill>
            </a:ln>
            <a:effectLst/>
          </c:spPr>
          <c:invertIfNegative val="0"/>
          <c:cat>
            <c:strRef>
              <c:f>'Summary Tables &amp; Charts'!$C$114:$C$133</c:f>
              <c:strCache>
                <c:ptCount val="20"/>
                <c:pt idx="0">
                  <c:v>Nationwide</c:v>
                </c:pt>
                <c:pt idx="1">
                  <c:v>Interregional/ Multiregional</c:v>
                </c:pt>
                <c:pt idx="2">
                  <c:v>Region Not indicated</c:v>
                </c:pt>
                <c:pt idx="3">
                  <c:v>Region I</c:v>
                </c:pt>
                <c:pt idx="4">
                  <c:v>Region II</c:v>
                </c:pt>
                <c:pt idx="5">
                  <c:v>Region III</c:v>
                </c:pt>
                <c:pt idx="6">
                  <c:v>Region IV-A</c:v>
                </c:pt>
                <c:pt idx="7">
                  <c:v>Region IV-B</c:v>
                </c:pt>
                <c:pt idx="8">
                  <c:v>Region V</c:v>
                </c:pt>
                <c:pt idx="9">
                  <c:v>Region VI and NIR</c:v>
                </c:pt>
                <c:pt idx="10">
                  <c:v>Region VII and NIR</c:v>
                </c:pt>
                <c:pt idx="11">
                  <c:v>Region VIII</c:v>
                </c:pt>
                <c:pt idx="12">
                  <c:v>Region IX</c:v>
                </c:pt>
                <c:pt idx="13">
                  <c:v>Region X</c:v>
                </c:pt>
                <c:pt idx="14">
                  <c:v>Region XI</c:v>
                </c:pt>
                <c:pt idx="15">
                  <c:v>Region XII</c:v>
                </c:pt>
                <c:pt idx="16">
                  <c:v>Region XIII</c:v>
                </c:pt>
                <c:pt idx="17">
                  <c:v>CAR</c:v>
                </c:pt>
                <c:pt idx="18">
                  <c:v>ARMM</c:v>
                </c:pt>
                <c:pt idx="19">
                  <c:v>NCR</c:v>
                </c:pt>
              </c:strCache>
            </c:strRef>
          </c:cat>
          <c:val>
            <c:numRef>
              <c:f>'Summary Tables &amp; Charts'!$F$114:$F$133</c:f>
              <c:numCache>
                <c:formatCode>_(* #,##0.00_);_(* \(#,##0.00\);_(* "-"??_);_(@_)</c:formatCode>
                <c:ptCount val="20"/>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numCache>
            </c:numRef>
          </c:val>
        </c:ser>
        <c:ser>
          <c:idx val="3"/>
          <c:order val="2"/>
          <c:tx>
            <c:strRef>
              <c:f>'Summary Tables &amp; Charts'!$G$113</c:f>
              <c:strCache>
                <c:ptCount val="1"/>
                <c:pt idx="0">
                  <c:v>2015</c:v>
                </c:pt>
              </c:strCache>
            </c:strRef>
          </c:tx>
          <c:spPr>
            <a:solidFill>
              <a:srgbClr val="FFFF00"/>
            </a:solidFill>
            <a:ln>
              <a:solidFill>
                <a:schemeClr val="tx1"/>
              </a:solidFill>
            </a:ln>
            <a:effectLst/>
          </c:spPr>
          <c:invertIfNegative val="0"/>
          <c:cat>
            <c:strRef>
              <c:f>'Summary Tables &amp; Charts'!$C$114:$C$133</c:f>
              <c:strCache>
                <c:ptCount val="20"/>
                <c:pt idx="0">
                  <c:v>Nationwide</c:v>
                </c:pt>
                <c:pt idx="1">
                  <c:v>Interregional/ Multiregional</c:v>
                </c:pt>
                <c:pt idx="2">
                  <c:v>Region Not indicated</c:v>
                </c:pt>
                <c:pt idx="3">
                  <c:v>Region I</c:v>
                </c:pt>
                <c:pt idx="4">
                  <c:v>Region II</c:v>
                </c:pt>
                <c:pt idx="5">
                  <c:v>Region III</c:v>
                </c:pt>
                <c:pt idx="6">
                  <c:v>Region IV-A</c:v>
                </c:pt>
                <c:pt idx="7">
                  <c:v>Region IV-B</c:v>
                </c:pt>
                <c:pt idx="8">
                  <c:v>Region V</c:v>
                </c:pt>
                <c:pt idx="9">
                  <c:v>Region VI and NIR</c:v>
                </c:pt>
                <c:pt idx="10">
                  <c:v>Region VII and NIR</c:v>
                </c:pt>
                <c:pt idx="11">
                  <c:v>Region VIII</c:v>
                </c:pt>
                <c:pt idx="12">
                  <c:v>Region IX</c:v>
                </c:pt>
                <c:pt idx="13">
                  <c:v>Region X</c:v>
                </c:pt>
                <c:pt idx="14">
                  <c:v>Region XI</c:v>
                </c:pt>
                <c:pt idx="15">
                  <c:v>Region XII</c:v>
                </c:pt>
                <c:pt idx="16">
                  <c:v>Region XIII</c:v>
                </c:pt>
                <c:pt idx="17">
                  <c:v>CAR</c:v>
                </c:pt>
                <c:pt idx="18">
                  <c:v>ARMM</c:v>
                </c:pt>
                <c:pt idx="19">
                  <c:v>NCR</c:v>
                </c:pt>
              </c:strCache>
            </c:strRef>
          </c:cat>
          <c:val>
            <c:numRef>
              <c:f>'Summary Tables &amp; Charts'!$G$114:$G$133</c:f>
              <c:numCache>
                <c:formatCode>_(* #,##0.00_);_(* \(#,##0.00\);_(* "-"??_);_(@_)</c:formatCode>
                <c:ptCount val="20"/>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numCache>
            </c:numRef>
          </c:val>
        </c:ser>
        <c:ser>
          <c:idx val="4"/>
          <c:order val="3"/>
          <c:tx>
            <c:strRef>
              <c:f>'Summary Tables &amp; Charts'!$H$113</c:f>
              <c:strCache>
                <c:ptCount val="1"/>
                <c:pt idx="0">
                  <c:v>2016</c:v>
                </c:pt>
              </c:strCache>
            </c:strRef>
          </c:tx>
          <c:spPr>
            <a:solidFill>
              <a:srgbClr val="00B050"/>
            </a:solidFill>
            <a:ln>
              <a:solidFill>
                <a:schemeClr val="tx1"/>
              </a:solidFill>
            </a:ln>
            <a:effectLst/>
          </c:spPr>
          <c:invertIfNegative val="0"/>
          <c:cat>
            <c:strRef>
              <c:f>'Summary Tables &amp; Charts'!$C$114:$C$133</c:f>
              <c:strCache>
                <c:ptCount val="20"/>
                <c:pt idx="0">
                  <c:v>Nationwide</c:v>
                </c:pt>
                <c:pt idx="1">
                  <c:v>Interregional/ Multiregional</c:v>
                </c:pt>
                <c:pt idx="2">
                  <c:v>Region Not indicated</c:v>
                </c:pt>
                <c:pt idx="3">
                  <c:v>Region I</c:v>
                </c:pt>
                <c:pt idx="4">
                  <c:v>Region II</c:v>
                </c:pt>
                <c:pt idx="5">
                  <c:v>Region III</c:v>
                </c:pt>
                <c:pt idx="6">
                  <c:v>Region IV-A</c:v>
                </c:pt>
                <c:pt idx="7">
                  <c:v>Region IV-B</c:v>
                </c:pt>
                <c:pt idx="8">
                  <c:v>Region V</c:v>
                </c:pt>
                <c:pt idx="9">
                  <c:v>Region VI and NIR</c:v>
                </c:pt>
                <c:pt idx="10">
                  <c:v>Region VII and NIR</c:v>
                </c:pt>
                <c:pt idx="11">
                  <c:v>Region VIII</c:v>
                </c:pt>
                <c:pt idx="12">
                  <c:v>Region IX</c:v>
                </c:pt>
                <c:pt idx="13">
                  <c:v>Region X</c:v>
                </c:pt>
                <c:pt idx="14">
                  <c:v>Region XI</c:v>
                </c:pt>
                <c:pt idx="15">
                  <c:v>Region XII</c:v>
                </c:pt>
                <c:pt idx="16">
                  <c:v>Region XIII</c:v>
                </c:pt>
                <c:pt idx="17">
                  <c:v>CAR</c:v>
                </c:pt>
                <c:pt idx="18">
                  <c:v>ARMM</c:v>
                </c:pt>
                <c:pt idx="19">
                  <c:v>NCR</c:v>
                </c:pt>
              </c:strCache>
            </c:strRef>
          </c:cat>
          <c:val>
            <c:numRef>
              <c:f>'Summary Tables &amp; Charts'!$H$114:$H$133</c:f>
              <c:numCache>
                <c:formatCode>_(* #,##0.00_);_(* \(#,##0.00\);_(* "-"??_);_(@_)</c:formatCode>
                <c:ptCount val="20"/>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numCache>
            </c:numRef>
          </c:val>
        </c:ser>
        <c:ser>
          <c:idx val="5"/>
          <c:order val="4"/>
          <c:tx>
            <c:strRef>
              <c:f>'Summary Tables &amp; Charts'!$I$113</c:f>
              <c:strCache>
                <c:ptCount val="1"/>
                <c:pt idx="0">
                  <c:v>2017-Beyond</c:v>
                </c:pt>
              </c:strCache>
            </c:strRef>
          </c:tx>
          <c:spPr>
            <a:solidFill>
              <a:srgbClr val="FF0000"/>
            </a:solidFill>
            <a:ln>
              <a:solidFill>
                <a:schemeClr val="tx1"/>
              </a:solidFill>
            </a:ln>
            <a:effectLst/>
          </c:spPr>
          <c:invertIfNegative val="0"/>
          <c:cat>
            <c:strRef>
              <c:f>'Summary Tables &amp; Charts'!$C$114:$C$133</c:f>
              <c:strCache>
                <c:ptCount val="20"/>
                <c:pt idx="0">
                  <c:v>Nationwide</c:v>
                </c:pt>
                <c:pt idx="1">
                  <c:v>Interregional/ Multiregional</c:v>
                </c:pt>
                <c:pt idx="2">
                  <c:v>Region Not indicated</c:v>
                </c:pt>
                <c:pt idx="3">
                  <c:v>Region I</c:v>
                </c:pt>
                <c:pt idx="4">
                  <c:v>Region II</c:v>
                </c:pt>
                <c:pt idx="5">
                  <c:v>Region III</c:v>
                </c:pt>
                <c:pt idx="6">
                  <c:v>Region IV-A</c:v>
                </c:pt>
                <c:pt idx="7">
                  <c:v>Region IV-B</c:v>
                </c:pt>
                <c:pt idx="8">
                  <c:v>Region V</c:v>
                </c:pt>
                <c:pt idx="9">
                  <c:v>Region VI and NIR</c:v>
                </c:pt>
                <c:pt idx="10">
                  <c:v>Region VII and NIR</c:v>
                </c:pt>
                <c:pt idx="11">
                  <c:v>Region VIII</c:v>
                </c:pt>
                <c:pt idx="12">
                  <c:v>Region IX</c:v>
                </c:pt>
                <c:pt idx="13">
                  <c:v>Region X</c:v>
                </c:pt>
                <c:pt idx="14">
                  <c:v>Region XI</c:v>
                </c:pt>
                <c:pt idx="15">
                  <c:v>Region XII</c:v>
                </c:pt>
                <c:pt idx="16">
                  <c:v>Region XIII</c:v>
                </c:pt>
                <c:pt idx="17">
                  <c:v>CAR</c:v>
                </c:pt>
                <c:pt idx="18">
                  <c:v>ARMM</c:v>
                </c:pt>
                <c:pt idx="19">
                  <c:v>NCR</c:v>
                </c:pt>
              </c:strCache>
            </c:strRef>
          </c:cat>
          <c:val>
            <c:numRef>
              <c:f>'Summary Tables &amp; Charts'!$I$114:$I$133</c:f>
              <c:numCache>
                <c:formatCode>_(* #,##0.00_);_(* \(#,##0.00\);_(* "-"??_);_(@_)</c:formatCode>
                <c:ptCount val="20"/>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numCache>
            </c:numRef>
          </c:val>
        </c:ser>
        <c:ser>
          <c:idx val="6"/>
          <c:order val="5"/>
          <c:tx>
            <c:strRef>
              <c:f>'Summary Tables &amp; Charts'!$J$113</c:f>
              <c:strCache>
                <c:ptCount val="1"/>
                <c:pt idx="0">
                  <c:v>No Annual Breakdown</c:v>
                </c:pt>
              </c:strCache>
            </c:strRef>
          </c:tx>
          <c:spPr>
            <a:solidFill>
              <a:srgbClr val="7030A0"/>
            </a:solidFill>
            <a:ln>
              <a:solidFill>
                <a:schemeClr val="tx1"/>
              </a:solidFill>
            </a:ln>
            <a:effectLst/>
          </c:spPr>
          <c:invertIfNegative val="0"/>
          <c:cat>
            <c:strRef>
              <c:f>'Summary Tables &amp; Charts'!$C$114:$C$133</c:f>
              <c:strCache>
                <c:ptCount val="20"/>
                <c:pt idx="0">
                  <c:v>Nationwide</c:v>
                </c:pt>
                <c:pt idx="1">
                  <c:v>Interregional/ Multiregional</c:v>
                </c:pt>
                <c:pt idx="2">
                  <c:v>Region Not indicated</c:v>
                </c:pt>
                <c:pt idx="3">
                  <c:v>Region I</c:v>
                </c:pt>
                <c:pt idx="4">
                  <c:v>Region II</c:v>
                </c:pt>
                <c:pt idx="5">
                  <c:v>Region III</c:v>
                </c:pt>
                <c:pt idx="6">
                  <c:v>Region IV-A</c:v>
                </c:pt>
                <c:pt idx="7">
                  <c:v>Region IV-B</c:v>
                </c:pt>
                <c:pt idx="8">
                  <c:v>Region V</c:v>
                </c:pt>
                <c:pt idx="9">
                  <c:v>Region VI and NIR</c:v>
                </c:pt>
                <c:pt idx="10">
                  <c:v>Region VII and NIR</c:v>
                </c:pt>
                <c:pt idx="11">
                  <c:v>Region VIII</c:v>
                </c:pt>
                <c:pt idx="12">
                  <c:v>Region IX</c:v>
                </c:pt>
                <c:pt idx="13">
                  <c:v>Region X</c:v>
                </c:pt>
                <c:pt idx="14">
                  <c:v>Region XI</c:v>
                </c:pt>
                <c:pt idx="15">
                  <c:v>Region XII</c:v>
                </c:pt>
                <c:pt idx="16">
                  <c:v>Region XIII</c:v>
                </c:pt>
                <c:pt idx="17">
                  <c:v>CAR</c:v>
                </c:pt>
                <c:pt idx="18">
                  <c:v>ARMM</c:v>
                </c:pt>
                <c:pt idx="19">
                  <c:v>NCR</c:v>
                </c:pt>
              </c:strCache>
            </c:strRef>
          </c:cat>
          <c:val>
            <c:numRef>
              <c:f>'Summary Tables &amp; Charts'!$J$114:$J$133</c:f>
              <c:numCache>
                <c:formatCode>_(* #,##0.00_);_(* \(#,##0.00\);_(* "-"??_);_(@_)</c:formatCode>
                <c:ptCount val="20"/>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numCache>
            </c:numRef>
          </c:val>
        </c:ser>
        <c:dLbls>
          <c:showLegendKey val="0"/>
          <c:showVal val="0"/>
          <c:showCatName val="0"/>
          <c:showSerName val="0"/>
          <c:showPercent val="0"/>
          <c:showBubbleSize val="0"/>
        </c:dLbls>
        <c:gapWidth val="150"/>
        <c:overlap val="100"/>
        <c:axId val="334579352"/>
        <c:axId val="334584056"/>
      </c:barChart>
      <c:catAx>
        <c:axId val="33457935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lang="en-US" sz="1200" b="0" i="0" u="none" strike="noStrike" kern="1200" baseline="0">
                <a:solidFill>
                  <a:schemeClr val="tx1">
                    <a:lumMod val="65000"/>
                    <a:lumOff val="35000"/>
                  </a:schemeClr>
                </a:solidFill>
                <a:latin typeface="+mn-lt"/>
                <a:ea typeface="+mn-ea"/>
                <a:cs typeface="+mn-cs"/>
              </a:defRPr>
            </a:pPr>
            <a:endParaRPr lang="en-US"/>
          </a:p>
        </c:txPr>
        <c:crossAx val="334584056"/>
        <c:crosses val="autoZero"/>
        <c:auto val="1"/>
        <c:lblAlgn val="ctr"/>
        <c:lblOffset val="100"/>
        <c:noMultiLvlLbl val="0"/>
      </c:catAx>
      <c:valAx>
        <c:axId val="334584056"/>
        <c:scaling>
          <c:orientation val="minMax"/>
        </c:scaling>
        <c:delete val="0"/>
        <c:axPos val="l"/>
        <c:majorGridlines>
          <c:spPr>
            <a:ln w="9525" cap="flat" cmpd="sng" algn="ctr">
              <a:solidFill>
                <a:schemeClr val="tx1">
                  <a:lumMod val="15000"/>
                  <a:lumOff val="85000"/>
                </a:schemeClr>
              </a:solidFill>
              <a:round/>
            </a:ln>
            <a:effectLst/>
          </c:spPr>
        </c:majorGridlines>
        <c:numFmt formatCode="_(* #,##0.00_);_(* \(#,##0.00\);_(* &quot;-&quot;??_);_(@_)" sourceLinked="1"/>
        <c:majorTickMark val="none"/>
        <c:minorTickMark val="none"/>
        <c:tickLblPos val="nextTo"/>
        <c:spPr>
          <a:ln w="6350">
            <a:noFill/>
          </a:ln>
        </c:spPr>
        <c:txPr>
          <a:bodyPr rot="-60000000" spcFirstLastPara="1" vertOverflow="ellipsis" vert="horz" wrap="square" anchor="ctr" anchorCtr="1"/>
          <a:lstStyle/>
          <a:p>
            <a:pPr>
              <a:defRPr lang="en-US" sz="1200" b="0" i="0" u="none" strike="noStrike" kern="1200" baseline="0">
                <a:solidFill>
                  <a:schemeClr val="tx1">
                    <a:lumMod val="65000"/>
                    <a:lumOff val="35000"/>
                  </a:schemeClr>
                </a:solidFill>
                <a:latin typeface="+mn-lt"/>
                <a:ea typeface="+mn-ea"/>
                <a:cs typeface="+mn-cs"/>
              </a:defRPr>
            </a:pPr>
            <a:endParaRPr lang="en-US"/>
          </a:p>
        </c:txPr>
        <c:crossAx val="334579352"/>
        <c:crosses val="autoZero"/>
        <c:crossBetween val="between"/>
      </c:valAx>
      <c:spPr>
        <a:noFill/>
        <a:ln w="25400">
          <a:noFill/>
        </a:ln>
      </c:spPr>
    </c:plotArea>
    <c:legend>
      <c:legendPos val="b"/>
      <c:layout>
        <c:manualLayout>
          <c:xMode val="edge"/>
          <c:yMode val="edge"/>
          <c:x val="0.28546624729688708"/>
          <c:y val="0.8934759470939444"/>
          <c:w val="0.44470198361868013"/>
          <c:h val="5.8588586694684884E-2"/>
        </c:manualLayout>
      </c:layout>
      <c:overlay val="0"/>
      <c:spPr>
        <a:solidFill>
          <a:schemeClr val="bg1">
            <a:lumMod val="95000"/>
          </a:schemeClr>
        </a:solidFill>
        <a:ln>
          <a:solidFill>
            <a:schemeClr val="tx1"/>
          </a:solidFill>
        </a:ln>
        <a:effectLst/>
      </c:spPr>
      <c:txPr>
        <a:bodyPr rot="0" spcFirstLastPara="1" vertOverflow="ellipsis" vert="horz" wrap="square" anchor="ctr" anchorCtr="1"/>
        <a:lstStyle/>
        <a:p>
          <a:pPr>
            <a:defRPr lang="en-US"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pPr>
      <a:endParaRPr lang="en-US"/>
    </a:p>
  </c:txPr>
  <c:printSettings>
    <c:headerFooter/>
    <c:pageMargins b="0.75000000000000022" l="0.70000000000000018" r="0.70000000000000018" t="0.75000000000000022" header="0.3000000000000001" footer="0.3000000000000001"/>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lang="en-US" sz="1600" b="0" i="0" u="none" strike="noStrike" kern="1200" spc="0" baseline="0">
                <a:solidFill>
                  <a:sysClr val="windowText" lastClr="000000"/>
                </a:solidFill>
                <a:latin typeface="+mn-lt"/>
                <a:ea typeface="+mn-ea"/>
                <a:cs typeface="+mn-cs"/>
              </a:defRPr>
            </a:pPr>
            <a:r>
              <a:rPr lang="en-US" sz="1600" b="1" i="0" u="none" strike="noStrike" baseline="0">
                <a:solidFill>
                  <a:sysClr val="windowText" lastClr="000000"/>
                </a:solidFill>
                <a:effectLst/>
              </a:rPr>
              <a:t>Comprehensive and Integrated Infrastructure Program (CIIP), </a:t>
            </a:r>
            <a:r>
              <a:rPr lang="en-PH" sz="1600" b="1" i="0" u="none" strike="noStrike" baseline="0">
                <a:solidFill>
                  <a:sysClr val="windowText" lastClr="000000"/>
                </a:solidFill>
                <a:effectLst/>
              </a:rPr>
              <a:t>by Agency</a:t>
            </a:r>
          </a:p>
          <a:p>
            <a:pPr>
              <a:defRPr lang="en-US" sz="1600" b="0" i="0" u="none" strike="noStrike" kern="1200" spc="0" baseline="0">
                <a:solidFill>
                  <a:sysClr val="windowText" lastClr="000000"/>
                </a:solidFill>
                <a:latin typeface="+mn-lt"/>
                <a:ea typeface="+mn-ea"/>
                <a:cs typeface="+mn-cs"/>
              </a:defRPr>
            </a:pPr>
            <a:r>
              <a:rPr lang="en-PH" sz="1600" b="0" i="1" u="none" strike="noStrike" baseline="0">
                <a:solidFill>
                  <a:sysClr val="windowText" lastClr="000000"/>
                </a:solidFill>
                <a:effectLst/>
              </a:rPr>
              <a:t>Investment Costs, In Thousand PhP; Total Investments: PhP7.27 trillion</a:t>
            </a:r>
            <a:endParaRPr lang="en-US" sz="1600" b="0" i="1">
              <a:solidFill>
                <a:sysClr val="windowText" lastClr="000000"/>
              </a:solidFill>
            </a:endParaRPr>
          </a:p>
        </c:rich>
      </c:tx>
      <c:overlay val="0"/>
      <c:spPr>
        <a:noFill/>
        <a:ln w="25400">
          <a:noFill/>
        </a:ln>
      </c:spPr>
    </c:title>
    <c:autoTitleDeleted val="0"/>
    <c:plotArea>
      <c:layout>
        <c:manualLayout>
          <c:layoutTarget val="inner"/>
          <c:xMode val="edge"/>
          <c:yMode val="edge"/>
          <c:x val="0.11315230975969494"/>
          <c:y val="0.10914107388077772"/>
          <c:w val="0.86694449917978955"/>
          <c:h val="0.63278405166459484"/>
        </c:manualLayout>
      </c:layout>
      <c:barChart>
        <c:barDir val="col"/>
        <c:grouping val="stacked"/>
        <c:varyColors val="0"/>
        <c:ser>
          <c:idx val="1"/>
          <c:order val="0"/>
          <c:tx>
            <c:strRef>
              <c:f>'Summary Tables &amp; Charts'!$E$4</c:f>
              <c:strCache>
                <c:ptCount val="1"/>
                <c:pt idx="0">
                  <c:v>2013</c:v>
                </c:pt>
              </c:strCache>
            </c:strRef>
          </c:tx>
          <c:spPr>
            <a:solidFill>
              <a:srgbClr val="FFC000"/>
            </a:solidFill>
            <a:ln>
              <a:solidFill>
                <a:schemeClr val="tx1"/>
              </a:solidFill>
            </a:ln>
            <a:effectLst/>
          </c:spPr>
          <c:invertIfNegative val="0"/>
          <c:cat>
            <c:strRef>
              <c:f>'Summary Tables &amp; Charts'!$C$5:$C$39</c:f>
              <c:strCache>
                <c:ptCount val="35"/>
                <c:pt idx="0">
                  <c:v>DPWH</c:v>
                </c:pt>
                <c:pt idx="1">
                  <c:v>DOTC</c:v>
                </c:pt>
                <c:pt idx="2">
                  <c:v>DOE</c:v>
                </c:pt>
                <c:pt idx="3">
                  <c:v>DOH</c:v>
                </c:pt>
                <c:pt idx="4">
                  <c:v>DepEd</c:v>
                </c:pt>
                <c:pt idx="5">
                  <c:v>OPAFSAM</c:v>
                </c:pt>
                <c:pt idx="6">
                  <c:v>BCDA</c:v>
                </c:pt>
                <c:pt idx="7">
                  <c:v>HUDCC</c:v>
                </c:pt>
                <c:pt idx="8">
                  <c:v>Inter-Agency/Others</c:v>
                </c:pt>
                <c:pt idx="9">
                  <c:v>DILG</c:v>
                </c:pt>
                <c:pt idx="10">
                  <c:v>DA</c:v>
                </c:pt>
                <c:pt idx="11">
                  <c:v>PRA</c:v>
                </c:pt>
                <c:pt idx="12">
                  <c:v>DOST</c:v>
                </c:pt>
                <c:pt idx="13">
                  <c:v>MMDA</c:v>
                </c:pt>
                <c:pt idx="14">
                  <c:v>DOJ</c:v>
                </c:pt>
                <c:pt idx="15">
                  <c:v>DSWD</c:v>
                </c:pt>
                <c:pt idx="16">
                  <c:v>Other Executive Offices</c:v>
                </c:pt>
                <c:pt idx="17">
                  <c:v>DENR</c:v>
                </c:pt>
                <c:pt idx="18">
                  <c:v>CHED</c:v>
                </c:pt>
                <c:pt idx="19">
                  <c:v>DAR</c:v>
                </c:pt>
                <c:pt idx="20">
                  <c:v>DOF</c:v>
                </c:pt>
                <c:pt idx="21">
                  <c:v>CEZA</c:v>
                </c:pt>
                <c:pt idx="22">
                  <c:v>ARMM</c:v>
                </c:pt>
                <c:pt idx="23">
                  <c:v>AFAB</c:v>
                </c:pt>
                <c:pt idx="24">
                  <c:v>DFA</c:v>
                </c:pt>
                <c:pt idx="25">
                  <c:v>PCOO</c:v>
                </c:pt>
                <c:pt idx="26">
                  <c:v>NEDA</c:v>
                </c:pt>
                <c:pt idx="27">
                  <c:v>PHLPOST</c:v>
                </c:pt>
                <c:pt idx="28">
                  <c:v>ZCSEZA</c:v>
                </c:pt>
                <c:pt idx="29">
                  <c:v>Congress</c:v>
                </c:pt>
                <c:pt idx="30">
                  <c:v>LLDA</c:v>
                </c:pt>
                <c:pt idx="31">
                  <c:v>DOLE</c:v>
                </c:pt>
                <c:pt idx="32">
                  <c:v>NTC</c:v>
                </c:pt>
                <c:pt idx="33">
                  <c:v>PRRC</c:v>
                </c:pt>
                <c:pt idx="34">
                  <c:v>CSC</c:v>
                </c:pt>
              </c:strCache>
            </c:strRef>
          </c:cat>
          <c:val>
            <c:numRef>
              <c:f>'Summary Tables &amp; Charts'!$E$5:$E$39</c:f>
              <c:numCache>
                <c:formatCode>_(* #,##0.00_);_(* \(#,##0.00\);_(* "-"??_);_(@_)</c:formatCode>
                <c:ptCount val="3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numCache>
            </c:numRef>
          </c:val>
        </c:ser>
        <c:ser>
          <c:idx val="2"/>
          <c:order val="1"/>
          <c:tx>
            <c:strRef>
              <c:f>'Summary Tables &amp; Charts'!$F$4</c:f>
              <c:strCache>
                <c:ptCount val="1"/>
                <c:pt idx="0">
                  <c:v>2014</c:v>
                </c:pt>
              </c:strCache>
            </c:strRef>
          </c:tx>
          <c:spPr>
            <a:solidFill>
              <a:srgbClr val="0070C0"/>
            </a:solidFill>
            <a:ln>
              <a:solidFill>
                <a:schemeClr val="tx1"/>
              </a:solidFill>
            </a:ln>
            <a:effectLst/>
          </c:spPr>
          <c:invertIfNegative val="0"/>
          <c:cat>
            <c:strRef>
              <c:f>'Summary Tables &amp; Charts'!$C$5:$C$39</c:f>
              <c:strCache>
                <c:ptCount val="35"/>
                <c:pt idx="0">
                  <c:v>DPWH</c:v>
                </c:pt>
                <c:pt idx="1">
                  <c:v>DOTC</c:v>
                </c:pt>
                <c:pt idx="2">
                  <c:v>DOE</c:v>
                </c:pt>
                <c:pt idx="3">
                  <c:v>DOH</c:v>
                </c:pt>
                <c:pt idx="4">
                  <c:v>DepEd</c:v>
                </c:pt>
                <c:pt idx="5">
                  <c:v>OPAFSAM</c:v>
                </c:pt>
                <c:pt idx="6">
                  <c:v>BCDA</c:v>
                </c:pt>
                <c:pt idx="7">
                  <c:v>HUDCC</c:v>
                </c:pt>
                <c:pt idx="8">
                  <c:v>Inter-Agency/Others</c:v>
                </c:pt>
                <c:pt idx="9">
                  <c:v>DILG</c:v>
                </c:pt>
                <c:pt idx="10">
                  <c:v>DA</c:v>
                </c:pt>
                <c:pt idx="11">
                  <c:v>PRA</c:v>
                </c:pt>
                <c:pt idx="12">
                  <c:v>DOST</c:v>
                </c:pt>
                <c:pt idx="13">
                  <c:v>MMDA</c:v>
                </c:pt>
                <c:pt idx="14">
                  <c:v>DOJ</c:v>
                </c:pt>
                <c:pt idx="15">
                  <c:v>DSWD</c:v>
                </c:pt>
                <c:pt idx="16">
                  <c:v>Other Executive Offices</c:v>
                </c:pt>
                <c:pt idx="17">
                  <c:v>DENR</c:v>
                </c:pt>
                <c:pt idx="18">
                  <c:v>CHED</c:v>
                </c:pt>
                <c:pt idx="19">
                  <c:v>DAR</c:v>
                </c:pt>
                <c:pt idx="20">
                  <c:v>DOF</c:v>
                </c:pt>
                <c:pt idx="21">
                  <c:v>CEZA</c:v>
                </c:pt>
                <c:pt idx="22">
                  <c:v>ARMM</c:v>
                </c:pt>
                <c:pt idx="23">
                  <c:v>AFAB</c:v>
                </c:pt>
                <c:pt idx="24">
                  <c:v>DFA</c:v>
                </c:pt>
                <c:pt idx="25">
                  <c:v>PCOO</c:v>
                </c:pt>
                <c:pt idx="26">
                  <c:v>NEDA</c:v>
                </c:pt>
                <c:pt idx="27">
                  <c:v>PHLPOST</c:v>
                </c:pt>
                <c:pt idx="28">
                  <c:v>ZCSEZA</c:v>
                </c:pt>
                <c:pt idx="29">
                  <c:v>Congress</c:v>
                </c:pt>
                <c:pt idx="30">
                  <c:v>LLDA</c:v>
                </c:pt>
                <c:pt idx="31">
                  <c:v>DOLE</c:v>
                </c:pt>
                <c:pt idx="32">
                  <c:v>NTC</c:v>
                </c:pt>
                <c:pt idx="33">
                  <c:v>PRRC</c:v>
                </c:pt>
                <c:pt idx="34">
                  <c:v>CSC</c:v>
                </c:pt>
              </c:strCache>
            </c:strRef>
          </c:cat>
          <c:val>
            <c:numRef>
              <c:f>'Summary Tables &amp; Charts'!$F$5:$F$39</c:f>
              <c:numCache>
                <c:formatCode>_(* #,##0.00_);_(* \(#,##0.00\);_(* "-"??_);_(@_)</c:formatCode>
                <c:ptCount val="3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numCache>
            </c:numRef>
          </c:val>
        </c:ser>
        <c:ser>
          <c:idx val="3"/>
          <c:order val="2"/>
          <c:tx>
            <c:strRef>
              <c:f>'Summary Tables &amp; Charts'!$G$4</c:f>
              <c:strCache>
                <c:ptCount val="1"/>
                <c:pt idx="0">
                  <c:v>2015</c:v>
                </c:pt>
              </c:strCache>
            </c:strRef>
          </c:tx>
          <c:spPr>
            <a:solidFill>
              <a:srgbClr val="FFFF00"/>
            </a:solidFill>
            <a:ln>
              <a:solidFill>
                <a:schemeClr val="tx1"/>
              </a:solidFill>
            </a:ln>
            <a:effectLst/>
          </c:spPr>
          <c:invertIfNegative val="0"/>
          <c:cat>
            <c:strRef>
              <c:f>'Summary Tables &amp; Charts'!$C$5:$C$39</c:f>
              <c:strCache>
                <c:ptCount val="35"/>
                <c:pt idx="0">
                  <c:v>DPWH</c:v>
                </c:pt>
                <c:pt idx="1">
                  <c:v>DOTC</c:v>
                </c:pt>
                <c:pt idx="2">
                  <c:v>DOE</c:v>
                </c:pt>
                <c:pt idx="3">
                  <c:v>DOH</c:v>
                </c:pt>
                <c:pt idx="4">
                  <c:v>DepEd</c:v>
                </c:pt>
                <c:pt idx="5">
                  <c:v>OPAFSAM</c:v>
                </c:pt>
                <c:pt idx="6">
                  <c:v>BCDA</c:v>
                </c:pt>
                <c:pt idx="7">
                  <c:v>HUDCC</c:v>
                </c:pt>
                <c:pt idx="8">
                  <c:v>Inter-Agency/Others</c:v>
                </c:pt>
                <c:pt idx="9">
                  <c:v>DILG</c:v>
                </c:pt>
                <c:pt idx="10">
                  <c:v>DA</c:v>
                </c:pt>
                <c:pt idx="11">
                  <c:v>PRA</c:v>
                </c:pt>
                <c:pt idx="12">
                  <c:v>DOST</c:v>
                </c:pt>
                <c:pt idx="13">
                  <c:v>MMDA</c:v>
                </c:pt>
                <c:pt idx="14">
                  <c:v>DOJ</c:v>
                </c:pt>
                <c:pt idx="15">
                  <c:v>DSWD</c:v>
                </c:pt>
                <c:pt idx="16">
                  <c:v>Other Executive Offices</c:v>
                </c:pt>
                <c:pt idx="17">
                  <c:v>DENR</c:v>
                </c:pt>
                <c:pt idx="18">
                  <c:v>CHED</c:v>
                </c:pt>
                <c:pt idx="19">
                  <c:v>DAR</c:v>
                </c:pt>
                <c:pt idx="20">
                  <c:v>DOF</c:v>
                </c:pt>
                <c:pt idx="21">
                  <c:v>CEZA</c:v>
                </c:pt>
                <c:pt idx="22">
                  <c:v>ARMM</c:v>
                </c:pt>
                <c:pt idx="23">
                  <c:v>AFAB</c:v>
                </c:pt>
                <c:pt idx="24">
                  <c:v>DFA</c:v>
                </c:pt>
                <c:pt idx="25">
                  <c:v>PCOO</c:v>
                </c:pt>
                <c:pt idx="26">
                  <c:v>NEDA</c:v>
                </c:pt>
                <c:pt idx="27">
                  <c:v>PHLPOST</c:v>
                </c:pt>
                <c:pt idx="28">
                  <c:v>ZCSEZA</c:v>
                </c:pt>
                <c:pt idx="29">
                  <c:v>Congress</c:v>
                </c:pt>
                <c:pt idx="30">
                  <c:v>LLDA</c:v>
                </c:pt>
                <c:pt idx="31">
                  <c:v>DOLE</c:v>
                </c:pt>
                <c:pt idx="32">
                  <c:v>NTC</c:v>
                </c:pt>
                <c:pt idx="33">
                  <c:v>PRRC</c:v>
                </c:pt>
                <c:pt idx="34">
                  <c:v>CSC</c:v>
                </c:pt>
              </c:strCache>
            </c:strRef>
          </c:cat>
          <c:val>
            <c:numRef>
              <c:f>'Summary Tables &amp; Charts'!$G$5:$G$39</c:f>
              <c:numCache>
                <c:formatCode>_(* #,##0.00_);_(* \(#,##0.00\);_(* "-"??_);_(@_)</c:formatCode>
                <c:ptCount val="3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numCache>
            </c:numRef>
          </c:val>
        </c:ser>
        <c:ser>
          <c:idx val="4"/>
          <c:order val="3"/>
          <c:tx>
            <c:strRef>
              <c:f>'Summary Tables &amp; Charts'!$H$4</c:f>
              <c:strCache>
                <c:ptCount val="1"/>
                <c:pt idx="0">
                  <c:v>2016</c:v>
                </c:pt>
              </c:strCache>
            </c:strRef>
          </c:tx>
          <c:spPr>
            <a:solidFill>
              <a:srgbClr val="00B050"/>
            </a:solidFill>
            <a:ln>
              <a:solidFill>
                <a:schemeClr val="tx1"/>
              </a:solidFill>
            </a:ln>
            <a:effectLst/>
          </c:spPr>
          <c:invertIfNegative val="0"/>
          <c:cat>
            <c:strRef>
              <c:f>'Summary Tables &amp; Charts'!$C$5:$C$39</c:f>
              <c:strCache>
                <c:ptCount val="35"/>
                <c:pt idx="0">
                  <c:v>DPWH</c:v>
                </c:pt>
                <c:pt idx="1">
                  <c:v>DOTC</c:v>
                </c:pt>
                <c:pt idx="2">
                  <c:v>DOE</c:v>
                </c:pt>
                <c:pt idx="3">
                  <c:v>DOH</c:v>
                </c:pt>
                <c:pt idx="4">
                  <c:v>DepEd</c:v>
                </c:pt>
                <c:pt idx="5">
                  <c:v>OPAFSAM</c:v>
                </c:pt>
                <c:pt idx="6">
                  <c:v>BCDA</c:v>
                </c:pt>
                <c:pt idx="7">
                  <c:v>HUDCC</c:v>
                </c:pt>
                <c:pt idx="8">
                  <c:v>Inter-Agency/Others</c:v>
                </c:pt>
                <c:pt idx="9">
                  <c:v>DILG</c:v>
                </c:pt>
                <c:pt idx="10">
                  <c:v>DA</c:v>
                </c:pt>
                <c:pt idx="11">
                  <c:v>PRA</c:v>
                </c:pt>
                <c:pt idx="12">
                  <c:v>DOST</c:v>
                </c:pt>
                <c:pt idx="13">
                  <c:v>MMDA</c:v>
                </c:pt>
                <c:pt idx="14">
                  <c:v>DOJ</c:v>
                </c:pt>
                <c:pt idx="15">
                  <c:v>DSWD</c:v>
                </c:pt>
                <c:pt idx="16">
                  <c:v>Other Executive Offices</c:v>
                </c:pt>
                <c:pt idx="17">
                  <c:v>DENR</c:v>
                </c:pt>
                <c:pt idx="18">
                  <c:v>CHED</c:v>
                </c:pt>
                <c:pt idx="19">
                  <c:v>DAR</c:v>
                </c:pt>
                <c:pt idx="20">
                  <c:v>DOF</c:v>
                </c:pt>
                <c:pt idx="21">
                  <c:v>CEZA</c:v>
                </c:pt>
                <c:pt idx="22">
                  <c:v>ARMM</c:v>
                </c:pt>
                <c:pt idx="23">
                  <c:v>AFAB</c:v>
                </c:pt>
                <c:pt idx="24">
                  <c:v>DFA</c:v>
                </c:pt>
                <c:pt idx="25">
                  <c:v>PCOO</c:v>
                </c:pt>
                <c:pt idx="26">
                  <c:v>NEDA</c:v>
                </c:pt>
                <c:pt idx="27">
                  <c:v>PHLPOST</c:v>
                </c:pt>
                <c:pt idx="28">
                  <c:v>ZCSEZA</c:v>
                </c:pt>
                <c:pt idx="29">
                  <c:v>Congress</c:v>
                </c:pt>
                <c:pt idx="30">
                  <c:v>LLDA</c:v>
                </c:pt>
                <c:pt idx="31">
                  <c:v>DOLE</c:v>
                </c:pt>
                <c:pt idx="32">
                  <c:v>NTC</c:v>
                </c:pt>
                <c:pt idx="33">
                  <c:v>PRRC</c:v>
                </c:pt>
                <c:pt idx="34">
                  <c:v>CSC</c:v>
                </c:pt>
              </c:strCache>
            </c:strRef>
          </c:cat>
          <c:val>
            <c:numRef>
              <c:f>'Summary Tables &amp; Charts'!$H$5:$H$39</c:f>
              <c:numCache>
                <c:formatCode>_(* #,##0.00_);_(* \(#,##0.00\);_(* "-"??_);_(@_)</c:formatCode>
                <c:ptCount val="3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numCache>
            </c:numRef>
          </c:val>
        </c:ser>
        <c:ser>
          <c:idx val="5"/>
          <c:order val="4"/>
          <c:tx>
            <c:strRef>
              <c:f>'Summary Tables &amp; Charts'!$I$4</c:f>
              <c:strCache>
                <c:ptCount val="1"/>
                <c:pt idx="0">
                  <c:v>2017-Beyond</c:v>
                </c:pt>
              </c:strCache>
            </c:strRef>
          </c:tx>
          <c:spPr>
            <a:solidFill>
              <a:srgbClr val="FF0000"/>
            </a:solidFill>
            <a:ln>
              <a:solidFill>
                <a:schemeClr val="tx1"/>
              </a:solidFill>
            </a:ln>
            <a:effectLst/>
          </c:spPr>
          <c:invertIfNegative val="0"/>
          <c:cat>
            <c:strRef>
              <c:f>'Summary Tables &amp; Charts'!$C$5:$C$39</c:f>
              <c:strCache>
                <c:ptCount val="35"/>
                <c:pt idx="0">
                  <c:v>DPWH</c:v>
                </c:pt>
                <c:pt idx="1">
                  <c:v>DOTC</c:v>
                </c:pt>
                <c:pt idx="2">
                  <c:v>DOE</c:v>
                </c:pt>
                <c:pt idx="3">
                  <c:v>DOH</c:v>
                </c:pt>
                <c:pt idx="4">
                  <c:v>DepEd</c:v>
                </c:pt>
                <c:pt idx="5">
                  <c:v>OPAFSAM</c:v>
                </c:pt>
                <c:pt idx="6">
                  <c:v>BCDA</c:v>
                </c:pt>
                <c:pt idx="7">
                  <c:v>HUDCC</c:v>
                </c:pt>
                <c:pt idx="8">
                  <c:v>Inter-Agency/Others</c:v>
                </c:pt>
                <c:pt idx="9">
                  <c:v>DILG</c:v>
                </c:pt>
                <c:pt idx="10">
                  <c:v>DA</c:v>
                </c:pt>
                <c:pt idx="11">
                  <c:v>PRA</c:v>
                </c:pt>
                <c:pt idx="12">
                  <c:v>DOST</c:v>
                </c:pt>
                <c:pt idx="13">
                  <c:v>MMDA</c:v>
                </c:pt>
                <c:pt idx="14">
                  <c:v>DOJ</c:v>
                </c:pt>
                <c:pt idx="15">
                  <c:v>DSWD</c:v>
                </c:pt>
                <c:pt idx="16">
                  <c:v>Other Executive Offices</c:v>
                </c:pt>
                <c:pt idx="17">
                  <c:v>DENR</c:v>
                </c:pt>
                <c:pt idx="18">
                  <c:v>CHED</c:v>
                </c:pt>
                <c:pt idx="19">
                  <c:v>DAR</c:v>
                </c:pt>
                <c:pt idx="20">
                  <c:v>DOF</c:v>
                </c:pt>
                <c:pt idx="21">
                  <c:v>CEZA</c:v>
                </c:pt>
                <c:pt idx="22">
                  <c:v>ARMM</c:v>
                </c:pt>
                <c:pt idx="23">
                  <c:v>AFAB</c:v>
                </c:pt>
                <c:pt idx="24">
                  <c:v>DFA</c:v>
                </c:pt>
                <c:pt idx="25">
                  <c:v>PCOO</c:v>
                </c:pt>
                <c:pt idx="26">
                  <c:v>NEDA</c:v>
                </c:pt>
                <c:pt idx="27">
                  <c:v>PHLPOST</c:v>
                </c:pt>
                <c:pt idx="28">
                  <c:v>ZCSEZA</c:v>
                </c:pt>
                <c:pt idx="29">
                  <c:v>Congress</c:v>
                </c:pt>
                <c:pt idx="30">
                  <c:v>LLDA</c:v>
                </c:pt>
                <c:pt idx="31">
                  <c:v>DOLE</c:v>
                </c:pt>
                <c:pt idx="32">
                  <c:v>NTC</c:v>
                </c:pt>
                <c:pt idx="33">
                  <c:v>PRRC</c:v>
                </c:pt>
                <c:pt idx="34">
                  <c:v>CSC</c:v>
                </c:pt>
              </c:strCache>
            </c:strRef>
          </c:cat>
          <c:val>
            <c:numRef>
              <c:f>'Summary Tables &amp; Charts'!$I$5:$I$39</c:f>
              <c:numCache>
                <c:formatCode>_(* #,##0.00_);_(* \(#,##0.00\);_(* "-"??_);_(@_)</c:formatCode>
                <c:ptCount val="3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numCache>
            </c:numRef>
          </c:val>
        </c:ser>
        <c:ser>
          <c:idx val="6"/>
          <c:order val="5"/>
          <c:tx>
            <c:strRef>
              <c:f>'Summary Tables &amp; Charts'!$J$4</c:f>
              <c:strCache>
                <c:ptCount val="1"/>
                <c:pt idx="0">
                  <c:v>No Annual Breakdown</c:v>
                </c:pt>
              </c:strCache>
            </c:strRef>
          </c:tx>
          <c:spPr>
            <a:solidFill>
              <a:srgbClr val="7030A0"/>
            </a:solidFill>
            <a:ln>
              <a:solidFill>
                <a:schemeClr val="tx1"/>
              </a:solidFill>
            </a:ln>
            <a:effectLst/>
          </c:spPr>
          <c:invertIfNegative val="0"/>
          <c:cat>
            <c:strRef>
              <c:f>'Summary Tables &amp; Charts'!$C$5:$C$39</c:f>
              <c:strCache>
                <c:ptCount val="35"/>
                <c:pt idx="0">
                  <c:v>DPWH</c:v>
                </c:pt>
                <c:pt idx="1">
                  <c:v>DOTC</c:v>
                </c:pt>
                <c:pt idx="2">
                  <c:v>DOE</c:v>
                </c:pt>
                <c:pt idx="3">
                  <c:v>DOH</c:v>
                </c:pt>
                <c:pt idx="4">
                  <c:v>DepEd</c:v>
                </c:pt>
                <c:pt idx="5">
                  <c:v>OPAFSAM</c:v>
                </c:pt>
                <c:pt idx="6">
                  <c:v>BCDA</c:v>
                </c:pt>
                <c:pt idx="7">
                  <c:v>HUDCC</c:v>
                </c:pt>
                <c:pt idx="8">
                  <c:v>Inter-Agency/Others</c:v>
                </c:pt>
                <c:pt idx="9">
                  <c:v>DILG</c:v>
                </c:pt>
                <c:pt idx="10">
                  <c:v>DA</c:v>
                </c:pt>
                <c:pt idx="11">
                  <c:v>PRA</c:v>
                </c:pt>
                <c:pt idx="12">
                  <c:v>DOST</c:v>
                </c:pt>
                <c:pt idx="13">
                  <c:v>MMDA</c:v>
                </c:pt>
                <c:pt idx="14">
                  <c:v>DOJ</c:v>
                </c:pt>
                <c:pt idx="15">
                  <c:v>DSWD</c:v>
                </c:pt>
                <c:pt idx="16">
                  <c:v>Other Executive Offices</c:v>
                </c:pt>
                <c:pt idx="17">
                  <c:v>DENR</c:v>
                </c:pt>
                <c:pt idx="18">
                  <c:v>CHED</c:v>
                </c:pt>
                <c:pt idx="19">
                  <c:v>DAR</c:v>
                </c:pt>
                <c:pt idx="20">
                  <c:v>DOF</c:v>
                </c:pt>
                <c:pt idx="21">
                  <c:v>CEZA</c:v>
                </c:pt>
                <c:pt idx="22">
                  <c:v>ARMM</c:v>
                </c:pt>
                <c:pt idx="23">
                  <c:v>AFAB</c:v>
                </c:pt>
                <c:pt idx="24">
                  <c:v>DFA</c:v>
                </c:pt>
                <c:pt idx="25">
                  <c:v>PCOO</c:v>
                </c:pt>
                <c:pt idx="26">
                  <c:v>NEDA</c:v>
                </c:pt>
                <c:pt idx="27">
                  <c:v>PHLPOST</c:v>
                </c:pt>
                <c:pt idx="28">
                  <c:v>ZCSEZA</c:v>
                </c:pt>
                <c:pt idx="29">
                  <c:v>Congress</c:v>
                </c:pt>
                <c:pt idx="30">
                  <c:v>LLDA</c:v>
                </c:pt>
                <c:pt idx="31">
                  <c:v>DOLE</c:v>
                </c:pt>
                <c:pt idx="32">
                  <c:v>NTC</c:v>
                </c:pt>
                <c:pt idx="33">
                  <c:v>PRRC</c:v>
                </c:pt>
                <c:pt idx="34">
                  <c:v>CSC</c:v>
                </c:pt>
              </c:strCache>
            </c:strRef>
          </c:cat>
          <c:val>
            <c:numRef>
              <c:f>'Summary Tables &amp; Charts'!$J$5:$J$39</c:f>
              <c:numCache>
                <c:formatCode>_(* #,##0.00_);_(* \(#,##0.00\);_(* "-"??_);_(@_)</c:formatCode>
                <c:ptCount val="3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numCache>
            </c:numRef>
          </c:val>
        </c:ser>
        <c:dLbls>
          <c:showLegendKey val="0"/>
          <c:showVal val="0"/>
          <c:showCatName val="0"/>
          <c:showSerName val="0"/>
          <c:showPercent val="0"/>
          <c:showBubbleSize val="0"/>
        </c:dLbls>
        <c:gapWidth val="150"/>
        <c:overlap val="100"/>
        <c:axId val="334580528"/>
        <c:axId val="334580136"/>
      </c:barChart>
      <c:catAx>
        <c:axId val="33458052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lang="en-US" sz="1200" b="0" i="0" u="none" strike="noStrike" kern="1200" baseline="0">
                <a:solidFill>
                  <a:schemeClr val="tx1">
                    <a:lumMod val="65000"/>
                    <a:lumOff val="35000"/>
                  </a:schemeClr>
                </a:solidFill>
                <a:latin typeface="+mn-lt"/>
                <a:ea typeface="+mn-ea"/>
                <a:cs typeface="+mn-cs"/>
              </a:defRPr>
            </a:pPr>
            <a:endParaRPr lang="en-US"/>
          </a:p>
        </c:txPr>
        <c:crossAx val="334580136"/>
        <c:crosses val="autoZero"/>
        <c:auto val="1"/>
        <c:lblAlgn val="ctr"/>
        <c:lblOffset val="100"/>
        <c:noMultiLvlLbl val="0"/>
      </c:catAx>
      <c:valAx>
        <c:axId val="334580136"/>
        <c:scaling>
          <c:orientation val="minMax"/>
        </c:scaling>
        <c:delete val="0"/>
        <c:axPos val="l"/>
        <c:majorGridlines>
          <c:spPr>
            <a:ln w="9525" cap="flat" cmpd="sng" algn="ctr">
              <a:solidFill>
                <a:schemeClr val="tx1">
                  <a:lumMod val="15000"/>
                  <a:lumOff val="85000"/>
                </a:schemeClr>
              </a:solidFill>
              <a:round/>
            </a:ln>
            <a:effectLst/>
          </c:spPr>
        </c:majorGridlines>
        <c:numFmt formatCode="_(* #,##0.00_);_(* \(#,##0.00\);_(* &quot;-&quot;??_);_(@_)" sourceLinked="1"/>
        <c:majorTickMark val="none"/>
        <c:minorTickMark val="none"/>
        <c:tickLblPos val="nextTo"/>
        <c:spPr>
          <a:ln w="6350">
            <a:noFill/>
          </a:ln>
        </c:spPr>
        <c:txPr>
          <a:bodyPr rot="-60000000" spcFirstLastPara="1" vertOverflow="ellipsis" vert="horz" wrap="square" anchor="ctr" anchorCtr="1"/>
          <a:lstStyle/>
          <a:p>
            <a:pPr>
              <a:defRPr lang="en-US" sz="1200" b="0" i="0" u="none" strike="noStrike" kern="1200" baseline="0">
                <a:solidFill>
                  <a:schemeClr val="tx1">
                    <a:lumMod val="65000"/>
                    <a:lumOff val="35000"/>
                  </a:schemeClr>
                </a:solidFill>
                <a:latin typeface="+mn-lt"/>
                <a:ea typeface="+mn-ea"/>
                <a:cs typeface="+mn-cs"/>
              </a:defRPr>
            </a:pPr>
            <a:endParaRPr lang="en-US"/>
          </a:p>
        </c:txPr>
        <c:crossAx val="334580528"/>
        <c:crosses val="autoZero"/>
        <c:crossBetween val="between"/>
      </c:valAx>
      <c:spPr>
        <a:noFill/>
        <a:ln w="25400">
          <a:noFill/>
        </a:ln>
      </c:spPr>
    </c:plotArea>
    <c:legend>
      <c:legendPos val="b"/>
      <c:layout>
        <c:manualLayout>
          <c:xMode val="edge"/>
          <c:yMode val="edge"/>
          <c:x val="0.30162925836033194"/>
          <c:y val="0.14303812939868871"/>
          <c:w val="0.39779329020691867"/>
          <c:h val="0.10000010816368503"/>
        </c:manualLayout>
      </c:layout>
      <c:overlay val="0"/>
      <c:spPr>
        <a:solidFill>
          <a:schemeClr val="bg1">
            <a:lumMod val="95000"/>
          </a:schemeClr>
        </a:solidFill>
        <a:ln>
          <a:solidFill>
            <a:schemeClr val="tx1"/>
          </a:solidFill>
        </a:ln>
        <a:effectLst/>
      </c:spPr>
      <c:txPr>
        <a:bodyPr rot="0" spcFirstLastPara="1" vertOverflow="ellipsis" vert="horz" wrap="square" anchor="ctr" anchorCtr="1"/>
        <a:lstStyle/>
        <a:p>
          <a:pPr>
            <a:defRPr lang="en-US"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sz="1200"/>
      </a:pPr>
      <a:endParaRPr lang="en-US"/>
    </a:p>
  </c:txPr>
  <c:printSettings>
    <c:headerFooter/>
    <c:pageMargins b="0.75000000000000022" l="0.70000000000000018" r="0.70000000000000018" t="0.75000000000000022" header="0.3000000000000001" footer="0.3000000000000001"/>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lang="en-US" sz="1600" b="0" i="0" u="none" strike="noStrike" kern="1200" spc="0" baseline="0">
                <a:solidFill>
                  <a:sysClr val="windowText" lastClr="000000"/>
                </a:solidFill>
                <a:latin typeface="+mn-lt"/>
                <a:ea typeface="+mn-ea"/>
                <a:cs typeface="+mn-cs"/>
              </a:defRPr>
            </a:pPr>
            <a:r>
              <a:rPr lang="en-US" sz="1600" b="1" i="0" u="none" strike="noStrike" baseline="0">
                <a:solidFill>
                  <a:sysClr val="windowText" lastClr="000000"/>
                </a:solidFill>
                <a:effectLst/>
              </a:rPr>
              <a:t>Comprehensive and Integrated Infrastructure Program (CIIP), </a:t>
            </a:r>
            <a:r>
              <a:rPr lang="en-PH" sz="1600" b="1" i="0" u="none" strike="noStrike" baseline="0">
                <a:solidFill>
                  <a:sysClr val="windowText" lastClr="000000"/>
                </a:solidFill>
                <a:effectLst/>
              </a:rPr>
              <a:t>per Capita Investment </a:t>
            </a:r>
          </a:p>
          <a:p>
            <a:pPr>
              <a:defRPr lang="en-US" sz="1600" b="0" i="0" u="none" strike="noStrike" kern="1200" spc="0" baseline="0">
                <a:solidFill>
                  <a:sysClr val="windowText" lastClr="000000"/>
                </a:solidFill>
                <a:latin typeface="+mn-lt"/>
                <a:ea typeface="+mn-ea"/>
                <a:cs typeface="+mn-cs"/>
              </a:defRPr>
            </a:pPr>
            <a:r>
              <a:rPr lang="en-PH" sz="1600" b="0" i="1" u="none" strike="noStrike" baseline="0">
                <a:solidFill>
                  <a:sysClr val="windowText" lastClr="000000"/>
                </a:solidFill>
                <a:effectLst/>
              </a:rPr>
              <a:t>Investment Costs, In PhP; Total Investments: PhP6 trillion</a:t>
            </a:r>
            <a:endParaRPr lang="en-US" sz="1600" b="0" i="1">
              <a:solidFill>
                <a:sysClr val="windowText" lastClr="000000"/>
              </a:solidFill>
            </a:endParaRPr>
          </a:p>
        </c:rich>
      </c:tx>
      <c:overlay val="0"/>
      <c:spPr>
        <a:noFill/>
        <a:ln w="25400">
          <a:noFill/>
        </a:ln>
      </c:spPr>
    </c:title>
    <c:autoTitleDeleted val="0"/>
    <c:plotArea>
      <c:layout>
        <c:manualLayout>
          <c:layoutTarget val="inner"/>
          <c:xMode val="edge"/>
          <c:yMode val="edge"/>
          <c:x val="0.11315230975969494"/>
          <c:y val="0.10914107388077772"/>
          <c:w val="0.87218503642366541"/>
          <c:h val="0.7234574394697888"/>
        </c:manualLayout>
      </c:layout>
      <c:barChart>
        <c:barDir val="col"/>
        <c:grouping val="stacked"/>
        <c:varyColors val="0"/>
        <c:ser>
          <c:idx val="0"/>
          <c:order val="0"/>
          <c:spPr>
            <a:solidFill>
              <a:srgbClr val="FFC000"/>
            </a:solidFill>
            <a:ln>
              <a:solidFill>
                <a:sysClr val="windowText" lastClr="000000"/>
              </a:solidFill>
            </a:ln>
          </c:spPr>
          <c:invertIfNegative val="0"/>
          <c:cat>
            <c:strRef>
              <c:f>'GRDP (from 04Mar15 INFRACOM)'!$B$253:$B$269</c:f>
              <c:strCache>
                <c:ptCount val="17"/>
                <c:pt idx="0">
                  <c:v>ARMM</c:v>
                </c:pt>
                <c:pt idx="1">
                  <c:v>CARAGA</c:v>
                </c:pt>
                <c:pt idx="2">
                  <c:v>Region IV-B</c:v>
                </c:pt>
                <c:pt idx="3">
                  <c:v>Region III</c:v>
                </c:pt>
                <c:pt idx="4">
                  <c:v>Region II</c:v>
                </c:pt>
                <c:pt idx="5">
                  <c:v>Region V</c:v>
                </c:pt>
                <c:pt idx="6">
                  <c:v>CAR</c:v>
                </c:pt>
                <c:pt idx="7">
                  <c:v>Region VIII</c:v>
                </c:pt>
                <c:pt idx="8">
                  <c:v>Region IX</c:v>
                </c:pt>
                <c:pt idx="9">
                  <c:v>Region VI</c:v>
                </c:pt>
                <c:pt idx="10">
                  <c:v>Region XII</c:v>
                </c:pt>
                <c:pt idx="11">
                  <c:v>Region I</c:v>
                </c:pt>
                <c:pt idx="12">
                  <c:v>Region XI</c:v>
                </c:pt>
                <c:pt idx="13">
                  <c:v>Region IV-A</c:v>
                </c:pt>
                <c:pt idx="14">
                  <c:v>Region X</c:v>
                </c:pt>
                <c:pt idx="15">
                  <c:v>Region VII</c:v>
                </c:pt>
                <c:pt idx="16">
                  <c:v>NCR</c:v>
                </c:pt>
              </c:strCache>
            </c:strRef>
          </c:cat>
          <c:val>
            <c:numRef>
              <c:f>'GRDP (from 04Mar15 INFRACOM)'!$F$253:$F$269</c:f>
              <c:numCache>
                <c:formatCode>_(* #,##0.00_);_(* \(#,##0.00\);_(* "-"??_);_(@_)</c:formatCode>
                <c:ptCount val="17"/>
                <c:pt idx="0">
                  <c:v>37479.574947091874</c:v>
                </c:pt>
                <c:pt idx="1">
                  <c:v>57021.693321593448</c:v>
                </c:pt>
                <c:pt idx="2">
                  <c:v>53420.109749567258</c:v>
                </c:pt>
                <c:pt idx="3">
                  <c:v>111773.17093725369</c:v>
                </c:pt>
                <c:pt idx="4">
                  <c:v>53372.604237322339</c:v>
                </c:pt>
                <c:pt idx="5">
                  <c:v>26380.255212905045</c:v>
                </c:pt>
                <c:pt idx="6">
                  <c:v>90191.576640641302</c:v>
                </c:pt>
                <c:pt idx="7">
                  <c:v>41312.616617683569</c:v>
                </c:pt>
                <c:pt idx="8">
                  <c:v>39122.447761142968</c:v>
                </c:pt>
                <c:pt idx="9">
                  <c:v>106863.46459448589</c:v>
                </c:pt>
                <c:pt idx="10">
                  <c:v>41080.494948378924</c:v>
                </c:pt>
                <c:pt idx="11">
                  <c:v>36746.179931124017</c:v>
                </c:pt>
                <c:pt idx="12">
                  <c:v>38449.559807632679</c:v>
                </c:pt>
                <c:pt idx="13">
                  <c:v>50841.088476490964</c:v>
                </c:pt>
                <c:pt idx="14">
                  <c:v>39423.915056252736</c:v>
                </c:pt>
                <c:pt idx="15">
                  <c:v>29795.173020004058</c:v>
                </c:pt>
                <c:pt idx="16">
                  <c:v>120207.93728155106</c:v>
                </c:pt>
              </c:numCache>
            </c:numRef>
          </c:val>
        </c:ser>
        <c:dLbls>
          <c:showLegendKey val="0"/>
          <c:showVal val="0"/>
          <c:showCatName val="0"/>
          <c:showSerName val="0"/>
          <c:showPercent val="0"/>
          <c:showBubbleSize val="0"/>
        </c:dLbls>
        <c:gapWidth val="150"/>
        <c:overlap val="100"/>
        <c:axId val="334578176"/>
        <c:axId val="334581312"/>
      </c:barChart>
      <c:catAx>
        <c:axId val="33457817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lang="en-US" sz="1200" b="0" i="0" u="none" strike="noStrike" kern="1200" baseline="0">
                <a:solidFill>
                  <a:schemeClr val="tx1">
                    <a:lumMod val="65000"/>
                    <a:lumOff val="35000"/>
                  </a:schemeClr>
                </a:solidFill>
                <a:latin typeface="+mn-lt"/>
                <a:ea typeface="+mn-ea"/>
                <a:cs typeface="+mn-cs"/>
              </a:defRPr>
            </a:pPr>
            <a:endParaRPr lang="en-US"/>
          </a:p>
        </c:txPr>
        <c:crossAx val="334581312"/>
        <c:crosses val="autoZero"/>
        <c:auto val="1"/>
        <c:lblAlgn val="ctr"/>
        <c:lblOffset val="100"/>
        <c:noMultiLvlLbl val="0"/>
      </c:catAx>
      <c:valAx>
        <c:axId val="334581312"/>
        <c:scaling>
          <c:orientation val="minMax"/>
        </c:scaling>
        <c:delete val="0"/>
        <c:axPos val="l"/>
        <c:majorGridlines>
          <c:spPr>
            <a:ln w="9525" cap="flat" cmpd="sng" algn="ctr">
              <a:solidFill>
                <a:schemeClr val="tx1">
                  <a:lumMod val="15000"/>
                  <a:lumOff val="85000"/>
                </a:schemeClr>
              </a:solidFill>
              <a:round/>
            </a:ln>
            <a:effectLst/>
          </c:spPr>
        </c:majorGridlines>
        <c:numFmt formatCode="_(* #,##0.00_);_(* \(#,##0.00\);_(* &quot;-&quot;??_);_(@_)" sourceLinked="1"/>
        <c:majorTickMark val="none"/>
        <c:minorTickMark val="none"/>
        <c:tickLblPos val="nextTo"/>
        <c:spPr>
          <a:ln w="6350">
            <a:noFill/>
          </a:ln>
        </c:spPr>
        <c:txPr>
          <a:bodyPr rot="-60000000" spcFirstLastPara="1" vertOverflow="ellipsis" vert="horz" wrap="square" anchor="ctr" anchorCtr="1"/>
          <a:lstStyle/>
          <a:p>
            <a:pPr>
              <a:defRPr lang="en-US" sz="1200" b="0" i="0" u="none" strike="noStrike" kern="1200" baseline="0">
                <a:solidFill>
                  <a:schemeClr val="tx1">
                    <a:lumMod val="65000"/>
                    <a:lumOff val="35000"/>
                  </a:schemeClr>
                </a:solidFill>
                <a:latin typeface="+mn-lt"/>
                <a:ea typeface="+mn-ea"/>
                <a:cs typeface="+mn-cs"/>
              </a:defRPr>
            </a:pPr>
            <a:endParaRPr lang="en-US"/>
          </a:p>
        </c:txPr>
        <c:crossAx val="334578176"/>
        <c:crosses val="autoZero"/>
        <c:crossBetween val="between"/>
      </c:valAx>
      <c:spPr>
        <a:noFill/>
        <a:ln w="25400">
          <a:noFill/>
        </a:ln>
      </c:spPr>
    </c:plotArea>
    <c:plotVisOnly val="1"/>
    <c:dispBlanksAs val="gap"/>
    <c:showDLblsOverMax val="0"/>
  </c:chart>
  <c:spPr>
    <a:solidFill>
      <a:schemeClr val="bg1"/>
    </a:solidFill>
    <a:ln w="9525" cap="flat" cmpd="sng" algn="ctr">
      <a:solidFill>
        <a:schemeClr val="bg1"/>
      </a:solidFill>
      <a:round/>
    </a:ln>
    <a:effectLst/>
  </c:spPr>
  <c:txPr>
    <a:bodyPr/>
    <a:lstStyle/>
    <a:p>
      <a:pPr>
        <a:defRPr sz="1200"/>
      </a:pPr>
      <a:endParaRPr lang="en-US"/>
    </a:p>
  </c:txPr>
  <c:printSettings>
    <c:headerFooter/>
    <c:pageMargins b="0.75000000000000022" l="0.70000000000000018" r="0.70000000000000018" t="0.75000000000000022" header="0.3000000000000001" footer="0.3000000000000001"/>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lang="en-US" sz="1600" b="0" i="0" u="none" strike="noStrike" kern="1200" spc="0" baseline="0">
                <a:solidFill>
                  <a:sysClr val="windowText" lastClr="000000"/>
                </a:solidFill>
                <a:latin typeface="+mn-lt"/>
                <a:ea typeface="+mn-ea"/>
                <a:cs typeface="+mn-cs"/>
              </a:defRPr>
            </a:pPr>
            <a:r>
              <a:rPr lang="en-PH" sz="1600" b="1" i="0" u="none" strike="noStrike" baseline="0">
                <a:solidFill>
                  <a:sysClr val="windowText" lastClr="000000"/>
                </a:solidFill>
                <a:effectLst/>
              </a:rPr>
              <a:t>CIIP, in % Average Regional Investment (2013-2016) to GRDP (2013)</a:t>
            </a:r>
          </a:p>
          <a:p>
            <a:pPr>
              <a:defRPr lang="en-US" sz="1600" b="0" i="0" u="none" strike="noStrike" kern="1200" spc="0" baseline="0">
                <a:solidFill>
                  <a:sysClr val="windowText" lastClr="000000"/>
                </a:solidFill>
                <a:latin typeface="+mn-lt"/>
                <a:ea typeface="+mn-ea"/>
                <a:cs typeface="+mn-cs"/>
              </a:defRPr>
            </a:pPr>
            <a:r>
              <a:rPr lang="en-PH" sz="1600" b="0" i="1" u="none" strike="noStrike" baseline="0">
                <a:solidFill>
                  <a:sysClr val="windowText" lastClr="000000"/>
                </a:solidFill>
                <a:effectLst/>
              </a:rPr>
              <a:t>% of Investment to GRDP; Total Investments: PhP6 trillion</a:t>
            </a:r>
            <a:endParaRPr lang="en-US" sz="1600" b="0" i="1">
              <a:solidFill>
                <a:sysClr val="windowText" lastClr="000000"/>
              </a:solidFill>
            </a:endParaRPr>
          </a:p>
        </c:rich>
      </c:tx>
      <c:overlay val="0"/>
      <c:spPr>
        <a:noFill/>
        <a:ln w="25400">
          <a:noFill/>
        </a:ln>
      </c:spPr>
    </c:title>
    <c:autoTitleDeleted val="0"/>
    <c:plotArea>
      <c:layout>
        <c:manualLayout>
          <c:layoutTarget val="inner"/>
          <c:xMode val="edge"/>
          <c:yMode val="edge"/>
          <c:x val="0.11315230975969494"/>
          <c:y val="0.10914107388077772"/>
          <c:w val="0.87218503642366541"/>
          <c:h val="0.73222937080905004"/>
        </c:manualLayout>
      </c:layout>
      <c:barChart>
        <c:barDir val="col"/>
        <c:grouping val="stacked"/>
        <c:varyColors val="0"/>
        <c:ser>
          <c:idx val="0"/>
          <c:order val="0"/>
          <c:spPr>
            <a:solidFill>
              <a:srgbClr val="FFC000"/>
            </a:solidFill>
            <a:ln>
              <a:solidFill>
                <a:sysClr val="windowText" lastClr="000000"/>
              </a:solidFill>
            </a:ln>
          </c:spPr>
          <c:invertIfNegative val="0"/>
          <c:cat>
            <c:strRef>
              <c:f>'GRDP (from 04Mar15 INFRACOM)'!$B$253:$B$269</c:f>
              <c:strCache>
                <c:ptCount val="17"/>
                <c:pt idx="0">
                  <c:v>ARMM</c:v>
                </c:pt>
                <c:pt idx="1">
                  <c:v>CARAGA</c:v>
                </c:pt>
                <c:pt idx="2">
                  <c:v>Region IV-B</c:v>
                </c:pt>
                <c:pt idx="3">
                  <c:v>Region III</c:v>
                </c:pt>
                <c:pt idx="4">
                  <c:v>Region II</c:v>
                </c:pt>
                <c:pt idx="5">
                  <c:v>Region V</c:v>
                </c:pt>
                <c:pt idx="6">
                  <c:v>CAR</c:v>
                </c:pt>
                <c:pt idx="7">
                  <c:v>Region VIII</c:v>
                </c:pt>
                <c:pt idx="8">
                  <c:v>Region IX</c:v>
                </c:pt>
                <c:pt idx="9">
                  <c:v>Region VI</c:v>
                </c:pt>
                <c:pt idx="10">
                  <c:v>Region XII</c:v>
                </c:pt>
                <c:pt idx="11">
                  <c:v>Region I</c:v>
                </c:pt>
                <c:pt idx="12">
                  <c:v>Region XI</c:v>
                </c:pt>
                <c:pt idx="13">
                  <c:v>Region IV-A</c:v>
                </c:pt>
                <c:pt idx="14">
                  <c:v>Region X</c:v>
                </c:pt>
                <c:pt idx="15">
                  <c:v>Region VII</c:v>
                </c:pt>
                <c:pt idx="16">
                  <c:v>NCR</c:v>
                </c:pt>
              </c:strCache>
            </c:strRef>
          </c:cat>
          <c:val>
            <c:numRef>
              <c:f>'GRDP (from 04Mar15 INFRACOM)'!$M$253:$M$269</c:f>
              <c:numCache>
                <c:formatCode>0.00%</c:formatCode>
                <c:ptCount val="17"/>
                <c:pt idx="0">
                  <c:v>0.18026377747024508</c:v>
                </c:pt>
                <c:pt idx="1">
                  <c:v>0.15359537722229261</c:v>
                </c:pt>
                <c:pt idx="2">
                  <c:v>0.11875167580592902</c:v>
                </c:pt>
                <c:pt idx="3">
                  <c:v>0.11606815288559018</c:v>
                </c:pt>
                <c:pt idx="4">
                  <c:v>0.10944470039159167</c:v>
                </c:pt>
                <c:pt idx="5">
                  <c:v>9.1985961687720053E-2</c:v>
                </c:pt>
                <c:pt idx="6">
                  <c:v>8.9594041255218859E-2</c:v>
                </c:pt>
                <c:pt idx="7">
                  <c:v>8.5716006633378555E-2</c:v>
                </c:pt>
                <c:pt idx="8">
                  <c:v>8.353748490582262E-2</c:v>
                </c:pt>
                <c:pt idx="9">
                  <c:v>7.4879857994472845E-2</c:v>
                </c:pt>
                <c:pt idx="10">
                  <c:v>7.2689239955015458E-2</c:v>
                </c:pt>
                <c:pt idx="11">
                  <c:v>6.4310757707865082E-2</c:v>
                </c:pt>
                <c:pt idx="12">
                  <c:v>5.3880144625069279E-2</c:v>
                </c:pt>
                <c:pt idx="13">
                  <c:v>5.1720692423428603E-2</c:v>
                </c:pt>
                <c:pt idx="14">
                  <c:v>5.0247779692604029E-2</c:v>
                </c:pt>
                <c:pt idx="15">
                  <c:v>3.160414682195218E-2</c:v>
                </c:pt>
                <c:pt idx="16">
                  <c:v>1.8064842851944634E-2</c:v>
                </c:pt>
              </c:numCache>
            </c:numRef>
          </c:val>
        </c:ser>
        <c:dLbls>
          <c:showLegendKey val="0"/>
          <c:showVal val="0"/>
          <c:showCatName val="0"/>
          <c:showSerName val="0"/>
          <c:showPercent val="0"/>
          <c:showBubbleSize val="0"/>
        </c:dLbls>
        <c:gapWidth val="150"/>
        <c:overlap val="100"/>
        <c:axId val="334578960"/>
        <c:axId val="334579744"/>
      </c:barChart>
      <c:catAx>
        <c:axId val="33457896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lang="en-US" sz="1200" b="0" i="0" u="none" strike="noStrike" kern="1200" baseline="0">
                <a:solidFill>
                  <a:schemeClr val="tx1">
                    <a:lumMod val="65000"/>
                    <a:lumOff val="35000"/>
                  </a:schemeClr>
                </a:solidFill>
                <a:latin typeface="+mn-lt"/>
                <a:ea typeface="+mn-ea"/>
                <a:cs typeface="+mn-cs"/>
              </a:defRPr>
            </a:pPr>
            <a:endParaRPr lang="en-US"/>
          </a:p>
        </c:txPr>
        <c:crossAx val="334579744"/>
        <c:crosses val="autoZero"/>
        <c:auto val="1"/>
        <c:lblAlgn val="ctr"/>
        <c:lblOffset val="100"/>
        <c:noMultiLvlLbl val="0"/>
      </c:catAx>
      <c:valAx>
        <c:axId val="334579744"/>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ln w="6350">
            <a:noFill/>
          </a:ln>
        </c:spPr>
        <c:txPr>
          <a:bodyPr rot="-60000000" spcFirstLastPara="1" vertOverflow="ellipsis" vert="horz" wrap="square" anchor="ctr" anchorCtr="1"/>
          <a:lstStyle/>
          <a:p>
            <a:pPr>
              <a:defRPr lang="en-US" sz="1200" b="0" i="0" u="none" strike="noStrike" kern="1200" baseline="0">
                <a:solidFill>
                  <a:schemeClr val="tx1">
                    <a:lumMod val="65000"/>
                    <a:lumOff val="35000"/>
                  </a:schemeClr>
                </a:solidFill>
                <a:latin typeface="+mn-lt"/>
                <a:ea typeface="+mn-ea"/>
                <a:cs typeface="+mn-cs"/>
              </a:defRPr>
            </a:pPr>
            <a:endParaRPr lang="en-US"/>
          </a:p>
        </c:txPr>
        <c:crossAx val="334578960"/>
        <c:crosses val="autoZero"/>
        <c:crossBetween val="between"/>
      </c:valAx>
      <c:spPr>
        <a:noFill/>
        <a:ln w="25400">
          <a:noFill/>
        </a:ln>
      </c:spPr>
    </c:plotArea>
    <c:plotVisOnly val="1"/>
    <c:dispBlanksAs val="gap"/>
    <c:showDLblsOverMax val="0"/>
  </c:chart>
  <c:spPr>
    <a:solidFill>
      <a:schemeClr val="bg1"/>
    </a:solidFill>
    <a:ln w="9525" cap="flat" cmpd="sng" algn="ctr">
      <a:solidFill>
        <a:schemeClr val="bg1"/>
      </a:solidFill>
      <a:round/>
    </a:ln>
    <a:effectLst/>
  </c:spPr>
  <c:txPr>
    <a:bodyPr/>
    <a:lstStyle/>
    <a:p>
      <a:pPr>
        <a:defRPr sz="1200"/>
      </a:pPr>
      <a:endParaRPr lang="en-US"/>
    </a:p>
  </c:txPr>
  <c:printSettings>
    <c:headerFooter/>
    <c:pageMargins b="0.75000000000000022" l="0.70000000000000018" r="0.70000000000000018" t="0.75000000000000022" header="0.3000000000000001" footer="0.3000000000000001"/>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lang="en-US" sz="1600" b="0" i="0" u="none" strike="noStrike" kern="1200" spc="0" baseline="0">
                <a:solidFill>
                  <a:sysClr val="windowText" lastClr="000000"/>
                </a:solidFill>
                <a:latin typeface="+mn-lt"/>
                <a:ea typeface="+mn-ea"/>
                <a:cs typeface="+mn-cs"/>
              </a:defRPr>
            </a:pPr>
            <a:r>
              <a:rPr lang="en-US" sz="1600" b="1" i="0" u="none" strike="noStrike" baseline="0">
                <a:solidFill>
                  <a:sysClr val="windowText" lastClr="000000"/>
                </a:solidFill>
                <a:effectLst/>
              </a:rPr>
              <a:t>CIIP </a:t>
            </a:r>
            <a:r>
              <a:rPr lang="en-PH" sz="1600" b="1" i="0" u="none" strike="noStrike" baseline="0">
                <a:solidFill>
                  <a:sysClr val="windowText" lastClr="000000"/>
                </a:solidFill>
                <a:effectLst/>
              </a:rPr>
              <a:t>Regional Investment Requirement</a:t>
            </a:r>
          </a:p>
          <a:p>
            <a:pPr>
              <a:defRPr lang="en-US" sz="1600" b="0" i="0" u="none" strike="noStrike" kern="1200" spc="0" baseline="0">
                <a:solidFill>
                  <a:sysClr val="windowText" lastClr="000000"/>
                </a:solidFill>
                <a:latin typeface="+mn-lt"/>
                <a:ea typeface="+mn-ea"/>
                <a:cs typeface="+mn-cs"/>
              </a:defRPr>
            </a:pPr>
            <a:r>
              <a:rPr lang="en-PH" sz="1600" b="0" i="1" u="none" strike="noStrike" baseline="0">
                <a:solidFill>
                  <a:sysClr val="windowText" lastClr="000000"/>
                </a:solidFill>
                <a:effectLst/>
              </a:rPr>
              <a:t>Investment Costs, In Thousand PhP; Total Investments: PhP6 trillion</a:t>
            </a:r>
            <a:endParaRPr lang="en-US" sz="1600" b="0" i="1">
              <a:solidFill>
                <a:sysClr val="windowText" lastClr="000000"/>
              </a:solidFill>
            </a:endParaRPr>
          </a:p>
        </c:rich>
      </c:tx>
      <c:overlay val="0"/>
      <c:spPr>
        <a:noFill/>
        <a:ln w="25400">
          <a:noFill/>
        </a:ln>
      </c:spPr>
    </c:title>
    <c:autoTitleDeleted val="0"/>
    <c:plotArea>
      <c:layout>
        <c:manualLayout>
          <c:layoutTarget val="inner"/>
          <c:xMode val="edge"/>
          <c:yMode val="edge"/>
          <c:x val="0.11315230975969494"/>
          <c:y val="0.10914107388077772"/>
          <c:w val="0.87218503642366541"/>
          <c:h val="0.7234574394697888"/>
        </c:manualLayout>
      </c:layout>
      <c:barChart>
        <c:barDir val="col"/>
        <c:grouping val="stacked"/>
        <c:varyColors val="0"/>
        <c:ser>
          <c:idx val="0"/>
          <c:order val="0"/>
          <c:spPr>
            <a:solidFill>
              <a:srgbClr val="FFC000"/>
            </a:solidFill>
            <a:ln>
              <a:solidFill>
                <a:sysClr val="windowText" lastClr="000000"/>
              </a:solidFill>
            </a:ln>
          </c:spPr>
          <c:invertIfNegative val="0"/>
          <c:cat>
            <c:strRef>
              <c:f>'GRDP (from 04Mar15 INFRACOM)'!$B$253:$B$269</c:f>
              <c:strCache>
                <c:ptCount val="17"/>
                <c:pt idx="0">
                  <c:v>ARMM</c:v>
                </c:pt>
                <c:pt idx="1">
                  <c:v>CARAGA</c:v>
                </c:pt>
                <c:pt idx="2">
                  <c:v>Region IV-B</c:v>
                </c:pt>
                <c:pt idx="3">
                  <c:v>Region III</c:v>
                </c:pt>
                <c:pt idx="4">
                  <c:v>Region II</c:v>
                </c:pt>
                <c:pt idx="5">
                  <c:v>Region V</c:v>
                </c:pt>
                <c:pt idx="6">
                  <c:v>CAR</c:v>
                </c:pt>
                <c:pt idx="7">
                  <c:v>Region VIII</c:v>
                </c:pt>
                <c:pt idx="8">
                  <c:v>Region IX</c:v>
                </c:pt>
                <c:pt idx="9">
                  <c:v>Region VI</c:v>
                </c:pt>
                <c:pt idx="10">
                  <c:v>Region XII</c:v>
                </c:pt>
                <c:pt idx="11">
                  <c:v>Region I</c:v>
                </c:pt>
                <c:pt idx="12">
                  <c:v>Region XI</c:v>
                </c:pt>
                <c:pt idx="13">
                  <c:v>Region IV-A</c:v>
                </c:pt>
                <c:pt idx="14">
                  <c:v>Region X</c:v>
                </c:pt>
                <c:pt idx="15">
                  <c:v>Region VII</c:v>
                </c:pt>
                <c:pt idx="16">
                  <c:v>NCR</c:v>
                </c:pt>
              </c:strCache>
            </c:strRef>
          </c:cat>
          <c:val>
            <c:numRef>
              <c:f>'GRDP (from 04Mar15 INFRACOM)'!$D$253:$D$269</c:f>
              <c:numCache>
                <c:formatCode>_(* #,##0.00_);_(* \(#,##0.00\);_(* "-"??_);_(@_)</c:formatCode>
                <c:ptCount val="17"/>
                <c:pt idx="0">
                  <c:v>122038743.16822375</c:v>
                </c:pt>
                <c:pt idx="1">
                  <c:v>138518465.93745452</c:v>
                </c:pt>
                <c:pt idx="2">
                  <c:v>146620626.04645452</c:v>
                </c:pt>
                <c:pt idx="3">
                  <c:v>1133127010.6179214</c:v>
                </c:pt>
                <c:pt idx="4">
                  <c:v>172348838.81680453</c:v>
                </c:pt>
                <c:pt idx="5">
                  <c:v>142991825.53883785</c:v>
                </c:pt>
                <c:pt idx="6">
                  <c:v>145827783.94822377</c:v>
                </c:pt>
                <c:pt idx="7">
                  <c:v>169436343.41167119</c:v>
                </c:pt>
                <c:pt idx="8">
                  <c:v>133303989.74627376</c:v>
                </c:pt>
                <c:pt idx="9">
                  <c:v>758991131.74753118</c:v>
                </c:pt>
                <c:pt idx="10">
                  <c:v>168823210.70550454</c:v>
                </c:pt>
                <c:pt idx="11">
                  <c:v>174484531.89191121</c:v>
                </c:pt>
                <c:pt idx="12">
                  <c:v>171814280.32267451</c:v>
                </c:pt>
                <c:pt idx="13">
                  <c:v>641096109.99412119</c:v>
                </c:pt>
                <c:pt idx="14">
                  <c:v>169417296.92128119</c:v>
                </c:pt>
                <c:pt idx="15">
                  <c:v>202612539.66717118</c:v>
                </c:pt>
                <c:pt idx="16">
                  <c:v>1425182299.2116373</c:v>
                </c:pt>
              </c:numCache>
            </c:numRef>
          </c:val>
        </c:ser>
        <c:dLbls>
          <c:showLegendKey val="0"/>
          <c:showVal val="0"/>
          <c:showCatName val="0"/>
          <c:showSerName val="0"/>
          <c:showPercent val="0"/>
          <c:showBubbleSize val="0"/>
        </c:dLbls>
        <c:gapWidth val="150"/>
        <c:overlap val="100"/>
        <c:axId val="334582880"/>
        <c:axId val="307909840"/>
      </c:barChart>
      <c:catAx>
        <c:axId val="33458288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lang="en-US" sz="1200" b="0" i="0" u="none" strike="noStrike" kern="1200" baseline="0">
                <a:solidFill>
                  <a:schemeClr val="tx1">
                    <a:lumMod val="65000"/>
                    <a:lumOff val="35000"/>
                  </a:schemeClr>
                </a:solidFill>
                <a:latin typeface="+mn-lt"/>
                <a:ea typeface="+mn-ea"/>
                <a:cs typeface="+mn-cs"/>
              </a:defRPr>
            </a:pPr>
            <a:endParaRPr lang="en-US"/>
          </a:p>
        </c:txPr>
        <c:crossAx val="307909840"/>
        <c:crosses val="autoZero"/>
        <c:auto val="1"/>
        <c:lblAlgn val="ctr"/>
        <c:lblOffset val="100"/>
        <c:noMultiLvlLbl val="0"/>
      </c:catAx>
      <c:valAx>
        <c:axId val="307909840"/>
        <c:scaling>
          <c:orientation val="minMax"/>
        </c:scaling>
        <c:delete val="0"/>
        <c:axPos val="l"/>
        <c:majorGridlines>
          <c:spPr>
            <a:ln w="9525" cap="flat" cmpd="sng" algn="ctr">
              <a:solidFill>
                <a:schemeClr val="tx1">
                  <a:lumMod val="15000"/>
                  <a:lumOff val="85000"/>
                </a:schemeClr>
              </a:solidFill>
              <a:round/>
            </a:ln>
            <a:effectLst/>
          </c:spPr>
        </c:majorGridlines>
        <c:numFmt formatCode="_(* #,##0.00_);_(* \(#,##0.00\);_(* &quot;-&quot;??_);_(@_)" sourceLinked="1"/>
        <c:majorTickMark val="none"/>
        <c:minorTickMark val="none"/>
        <c:tickLblPos val="nextTo"/>
        <c:spPr>
          <a:ln w="6350">
            <a:noFill/>
          </a:ln>
        </c:spPr>
        <c:txPr>
          <a:bodyPr rot="-60000000" spcFirstLastPara="1" vertOverflow="ellipsis" vert="horz" wrap="square" anchor="ctr" anchorCtr="1"/>
          <a:lstStyle/>
          <a:p>
            <a:pPr>
              <a:defRPr lang="en-US" sz="1200" b="0" i="0" u="none" strike="noStrike" kern="1200" baseline="0">
                <a:solidFill>
                  <a:schemeClr val="tx1">
                    <a:lumMod val="65000"/>
                    <a:lumOff val="35000"/>
                  </a:schemeClr>
                </a:solidFill>
                <a:latin typeface="+mn-lt"/>
                <a:ea typeface="+mn-ea"/>
                <a:cs typeface="+mn-cs"/>
              </a:defRPr>
            </a:pPr>
            <a:endParaRPr lang="en-US"/>
          </a:p>
        </c:txPr>
        <c:crossAx val="334582880"/>
        <c:crosses val="autoZero"/>
        <c:crossBetween val="between"/>
      </c:valAx>
      <c:spPr>
        <a:noFill/>
        <a:ln w="25400">
          <a:noFill/>
        </a:ln>
      </c:spPr>
    </c:plotArea>
    <c:plotVisOnly val="1"/>
    <c:dispBlanksAs val="gap"/>
    <c:showDLblsOverMax val="0"/>
  </c:chart>
  <c:spPr>
    <a:solidFill>
      <a:schemeClr val="bg1"/>
    </a:solidFill>
    <a:ln w="9525" cap="flat" cmpd="sng" algn="ctr">
      <a:solidFill>
        <a:schemeClr val="bg1"/>
      </a:solidFill>
      <a:round/>
    </a:ln>
    <a:effectLst/>
  </c:spPr>
  <c:txPr>
    <a:bodyPr/>
    <a:lstStyle/>
    <a:p>
      <a:pPr>
        <a:defRPr sz="1200"/>
      </a:pPr>
      <a:endParaRPr lang="en-US"/>
    </a:p>
  </c:txPr>
  <c:printSettings>
    <c:headerFooter/>
    <c:pageMargins b="0.75000000000000022" l="0.70000000000000018" r="0.70000000000000018" t="0.75000000000000022" header="0.3000000000000001" footer="0.3000000000000001"/>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vert="horz"/>
          <a:lstStyle/>
          <a:p>
            <a:pPr>
              <a:defRPr lang="en-US"/>
            </a:pPr>
            <a:r>
              <a:rPr lang="en-US"/>
              <a:t>Comprehensive and Integrated Infrastructure Program (CIIP), by Sector</a:t>
            </a:r>
          </a:p>
          <a:p>
            <a:pPr>
              <a:defRPr lang="en-US"/>
            </a:pPr>
            <a:r>
              <a:rPr lang="en-US" b="0">
                <a:solidFill>
                  <a:schemeClr val="tx1"/>
                </a:solidFill>
              </a:rPr>
              <a:t>Investment Costs, In Thousand PhP; Total Investments: PhP7 trillion</a:t>
            </a:r>
          </a:p>
        </c:rich>
      </c:tx>
      <c:overlay val="0"/>
      <c:spPr>
        <a:noFill/>
        <a:ln w="25400">
          <a:noFill/>
        </a:ln>
      </c:spPr>
    </c:title>
    <c:autoTitleDeleted val="0"/>
    <c:plotArea>
      <c:layout/>
      <c:barChart>
        <c:barDir val="col"/>
        <c:grouping val="clustered"/>
        <c:varyColors val="0"/>
        <c:ser>
          <c:idx val="1"/>
          <c:order val="0"/>
          <c:tx>
            <c:strRef>
              <c:f>'Summary Tables &amp; Charts'!$E$302</c:f>
              <c:strCache>
                <c:ptCount val="1"/>
                <c:pt idx="0">
                  <c:v>2013</c:v>
                </c:pt>
              </c:strCache>
            </c:strRef>
          </c:tx>
          <c:spPr>
            <a:solidFill>
              <a:schemeClr val="bg1">
                <a:lumMod val="65000"/>
              </a:schemeClr>
            </a:solidFill>
            <a:ln>
              <a:noFill/>
            </a:ln>
            <a:effectLst/>
          </c:spPr>
          <c:invertIfNegative val="0"/>
          <c:cat>
            <c:strRef>
              <c:f>'Summary Tables &amp; Charts'!$C$303:$C$308</c:f>
              <c:strCache>
                <c:ptCount val="6"/>
                <c:pt idx="0">
                  <c:v>ICT</c:v>
                </c:pt>
                <c:pt idx="1">
                  <c:v>Other Public Infrastructure</c:v>
                </c:pt>
                <c:pt idx="2">
                  <c:v>Water Resources</c:v>
                </c:pt>
                <c:pt idx="3">
                  <c:v>Energy</c:v>
                </c:pt>
                <c:pt idx="4">
                  <c:v>Social Infrastructure</c:v>
                </c:pt>
                <c:pt idx="5">
                  <c:v>Transportation</c:v>
                </c:pt>
              </c:strCache>
            </c:strRef>
          </c:cat>
          <c:val>
            <c:numRef>
              <c:f>'Summary Tables &amp; Charts'!$E$303:$E$308</c:f>
              <c:numCache>
                <c:formatCode>_(* #,##0.00_);_(* \(#,##0.00\);_(* "-"??_);_(@_)</c:formatCode>
                <c:ptCount val="6"/>
                <c:pt idx="0">
                  <c:v>0</c:v>
                </c:pt>
                <c:pt idx="1">
                  <c:v>0</c:v>
                </c:pt>
                <c:pt idx="2">
                  <c:v>0</c:v>
                </c:pt>
                <c:pt idx="3">
                  <c:v>0</c:v>
                </c:pt>
                <c:pt idx="4">
                  <c:v>0</c:v>
                </c:pt>
                <c:pt idx="5">
                  <c:v>0</c:v>
                </c:pt>
              </c:numCache>
            </c:numRef>
          </c:val>
        </c:ser>
        <c:ser>
          <c:idx val="2"/>
          <c:order val="1"/>
          <c:tx>
            <c:strRef>
              <c:f>'Summary Tables &amp; Charts'!$F$302</c:f>
              <c:strCache>
                <c:ptCount val="1"/>
                <c:pt idx="0">
                  <c:v>2014</c:v>
                </c:pt>
              </c:strCache>
            </c:strRef>
          </c:tx>
          <c:spPr>
            <a:solidFill>
              <a:srgbClr val="FFFF00"/>
            </a:solidFill>
            <a:ln w="25400">
              <a:noFill/>
            </a:ln>
          </c:spPr>
          <c:invertIfNegative val="0"/>
          <c:cat>
            <c:strRef>
              <c:f>'Summary Tables &amp; Charts'!$C$303:$C$308</c:f>
              <c:strCache>
                <c:ptCount val="6"/>
                <c:pt idx="0">
                  <c:v>ICT</c:v>
                </c:pt>
                <c:pt idx="1">
                  <c:v>Other Public Infrastructure</c:v>
                </c:pt>
                <c:pt idx="2">
                  <c:v>Water Resources</c:v>
                </c:pt>
                <c:pt idx="3">
                  <c:v>Energy</c:v>
                </c:pt>
                <c:pt idx="4">
                  <c:v>Social Infrastructure</c:v>
                </c:pt>
                <c:pt idx="5">
                  <c:v>Transportation</c:v>
                </c:pt>
              </c:strCache>
            </c:strRef>
          </c:cat>
          <c:val>
            <c:numRef>
              <c:f>'Summary Tables &amp; Charts'!$F$303:$F$308</c:f>
              <c:numCache>
                <c:formatCode>_(* #,##0.00_);_(* \(#,##0.00\);_(* "-"??_);_(@_)</c:formatCode>
                <c:ptCount val="6"/>
                <c:pt idx="0">
                  <c:v>0</c:v>
                </c:pt>
                <c:pt idx="1">
                  <c:v>0</c:v>
                </c:pt>
                <c:pt idx="2">
                  <c:v>0</c:v>
                </c:pt>
                <c:pt idx="3">
                  <c:v>0</c:v>
                </c:pt>
                <c:pt idx="4">
                  <c:v>0</c:v>
                </c:pt>
                <c:pt idx="5">
                  <c:v>0</c:v>
                </c:pt>
              </c:numCache>
            </c:numRef>
          </c:val>
        </c:ser>
        <c:ser>
          <c:idx val="3"/>
          <c:order val="2"/>
          <c:tx>
            <c:strRef>
              <c:f>'Summary Tables &amp; Charts'!$G$302</c:f>
              <c:strCache>
                <c:ptCount val="1"/>
                <c:pt idx="0">
                  <c:v>2015</c:v>
                </c:pt>
              </c:strCache>
            </c:strRef>
          </c:tx>
          <c:spPr>
            <a:solidFill>
              <a:srgbClr val="00B050"/>
            </a:solidFill>
            <a:ln w="25400">
              <a:noFill/>
            </a:ln>
          </c:spPr>
          <c:invertIfNegative val="0"/>
          <c:cat>
            <c:strRef>
              <c:f>'Summary Tables &amp; Charts'!$C$303:$C$308</c:f>
              <c:strCache>
                <c:ptCount val="6"/>
                <c:pt idx="0">
                  <c:v>ICT</c:v>
                </c:pt>
                <c:pt idx="1">
                  <c:v>Other Public Infrastructure</c:v>
                </c:pt>
                <c:pt idx="2">
                  <c:v>Water Resources</c:v>
                </c:pt>
                <c:pt idx="3">
                  <c:v>Energy</c:v>
                </c:pt>
                <c:pt idx="4">
                  <c:v>Social Infrastructure</c:v>
                </c:pt>
                <c:pt idx="5">
                  <c:v>Transportation</c:v>
                </c:pt>
              </c:strCache>
            </c:strRef>
          </c:cat>
          <c:val>
            <c:numRef>
              <c:f>'Summary Tables &amp; Charts'!$G$303:$G$308</c:f>
              <c:numCache>
                <c:formatCode>_(* #,##0.00_);_(* \(#,##0.00\);_(* "-"??_);_(@_)</c:formatCode>
                <c:ptCount val="6"/>
                <c:pt idx="0">
                  <c:v>0</c:v>
                </c:pt>
                <c:pt idx="1">
                  <c:v>0</c:v>
                </c:pt>
                <c:pt idx="2">
                  <c:v>0</c:v>
                </c:pt>
                <c:pt idx="3">
                  <c:v>0</c:v>
                </c:pt>
                <c:pt idx="4">
                  <c:v>0</c:v>
                </c:pt>
                <c:pt idx="5">
                  <c:v>0</c:v>
                </c:pt>
              </c:numCache>
            </c:numRef>
          </c:val>
        </c:ser>
        <c:ser>
          <c:idx val="4"/>
          <c:order val="3"/>
          <c:tx>
            <c:strRef>
              <c:f>'Summary Tables &amp; Charts'!$H$302</c:f>
              <c:strCache>
                <c:ptCount val="1"/>
                <c:pt idx="0">
                  <c:v>2016</c:v>
                </c:pt>
              </c:strCache>
            </c:strRef>
          </c:tx>
          <c:spPr>
            <a:solidFill>
              <a:srgbClr val="0070C0"/>
            </a:solidFill>
            <a:ln w="25400">
              <a:noFill/>
            </a:ln>
          </c:spPr>
          <c:invertIfNegative val="0"/>
          <c:cat>
            <c:strRef>
              <c:f>'Summary Tables &amp; Charts'!$C$303:$C$308</c:f>
              <c:strCache>
                <c:ptCount val="6"/>
                <c:pt idx="0">
                  <c:v>ICT</c:v>
                </c:pt>
                <c:pt idx="1">
                  <c:v>Other Public Infrastructure</c:v>
                </c:pt>
                <c:pt idx="2">
                  <c:v>Water Resources</c:v>
                </c:pt>
                <c:pt idx="3">
                  <c:v>Energy</c:v>
                </c:pt>
                <c:pt idx="4">
                  <c:v>Social Infrastructure</c:v>
                </c:pt>
                <c:pt idx="5">
                  <c:v>Transportation</c:v>
                </c:pt>
              </c:strCache>
            </c:strRef>
          </c:cat>
          <c:val>
            <c:numRef>
              <c:f>'Summary Tables &amp; Charts'!$H$303:$H$308</c:f>
              <c:numCache>
                <c:formatCode>_(* #,##0.00_);_(* \(#,##0.00\);_(* "-"??_);_(@_)</c:formatCode>
                <c:ptCount val="6"/>
                <c:pt idx="0">
                  <c:v>0</c:v>
                </c:pt>
                <c:pt idx="1">
                  <c:v>0</c:v>
                </c:pt>
                <c:pt idx="2">
                  <c:v>0</c:v>
                </c:pt>
                <c:pt idx="3">
                  <c:v>0</c:v>
                </c:pt>
                <c:pt idx="4">
                  <c:v>0</c:v>
                </c:pt>
                <c:pt idx="5">
                  <c:v>0</c:v>
                </c:pt>
              </c:numCache>
            </c:numRef>
          </c:val>
        </c:ser>
        <c:ser>
          <c:idx val="5"/>
          <c:order val="4"/>
          <c:tx>
            <c:strRef>
              <c:f>'Summary Tables &amp; Charts'!$I$302</c:f>
              <c:strCache>
                <c:ptCount val="1"/>
                <c:pt idx="0">
                  <c:v>2017-Beyond</c:v>
                </c:pt>
              </c:strCache>
            </c:strRef>
          </c:tx>
          <c:spPr>
            <a:solidFill>
              <a:srgbClr val="FF0000"/>
            </a:solidFill>
            <a:ln w="25400">
              <a:noFill/>
            </a:ln>
          </c:spPr>
          <c:invertIfNegative val="0"/>
          <c:cat>
            <c:strRef>
              <c:f>'Summary Tables &amp; Charts'!$C$303:$C$308</c:f>
              <c:strCache>
                <c:ptCount val="6"/>
                <c:pt idx="0">
                  <c:v>ICT</c:v>
                </c:pt>
                <c:pt idx="1">
                  <c:v>Other Public Infrastructure</c:v>
                </c:pt>
                <c:pt idx="2">
                  <c:v>Water Resources</c:v>
                </c:pt>
                <c:pt idx="3">
                  <c:v>Energy</c:v>
                </c:pt>
                <c:pt idx="4">
                  <c:v>Social Infrastructure</c:v>
                </c:pt>
                <c:pt idx="5">
                  <c:v>Transportation</c:v>
                </c:pt>
              </c:strCache>
            </c:strRef>
          </c:cat>
          <c:val>
            <c:numRef>
              <c:f>'Summary Tables &amp; Charts'!$I$303:$I$308</c:f>
              <c:numCache>
                <c:formatCode>_(* #,##0.00_);_(* \(#,##0.00\);_(* "-"??_);_(@_)</c:formatCode>
                <c:ptCount val="6"/>
                <c:pt idx="0">
                  <c:v>0</c:v>
                </c:pt>
                <c:pt idx="1">
                  <c:v>0</c:v>
                </c:pt>
                <c:pt idx="2">
                  <c:v>0</c:v>
                </c:pt>
                <c:pt idx="3">
                  <c:v>0</c:v>
                </c:pt>
                <c:pt idx="4">
                  <c:v>0</c:v>
                </c:pt>
                <c:pt idx="5">
                  <c:v>0</c:v>
                </c:pt>
              </c:numCache>
            </c:numRef>
          </c:val>
        </c:ser>
        <c:ser>
          <c:idx val="6"/>
          <c:order val="5"/>
          <c:tx>
            <c:strRef>
              <c:f>'Summary Tables &amp; Charts'!$J$302</c:f>
              <c:strCache>
                <c:ptCount val="1"/>
                <c:pt idx="0">
                  <c:v>No Annual Breakdown</c:v>
                </c:pt>
              </c:strCache>
            </c:strRef>
          </c:tx>
          <c:spPr>
            <a:solidFill>
              <a:srgbClr val="FFC000"/>
            </a:solidFill>
            <a:ln w="25400">
              <a:noFill/>
            </a:ln>
          </c:spPr>
          <c:invertIfNegative val="0"/>
          <c:cat>
            <c:strRef>
              <c:f>'Summary Tables &amp; Charts'!$C$303:$C$308</c:f>
              <c:strCache>
                <c:ptCount val="6"/>
                <c:pt idx="0">
                  <c:v>ICT</c:v>
                </c:pt>
                <c:pt idx="1">
                  <c:v>Other Public Infrastructure</c:v>
                </c:pt>
                <c:pt idx="2">
                  <c:v>Water Resources</c:v>
                </c:pt>
                <c:pt idx="3">
                  <c:v>Energy</c:v>
                </c:pt>
                <c:pt idx="4">
                  <c:v>Social Infrastructure</c:v>
                </c:pt>
                <c:pt idx="5">
                  <c:v>Transportation</c:v>
                </c:pt>
              </c:strCache>
            </c:strRef>
          </c:cat>
          <c:val>
            <c:numRef>
              <c:f>'Summary Tables &amp; Charts'!$J$303:$J$308</c:f>
              <c:numCache>
                <c:formatCode>_(* #,##0.00_);_(* \(#,##0.00\);_(* "-"??_);_(@_)</c:formatCode>
                <c:ptCount val="6"/>
                <c:pt idx="0">
                  <c:v>0</c:v>
                </c:pt>
                <c:pt idx="1">
                  <c:v>0</c:v>
                </c:pt>
                <c:pt idx="2">
                  <c:v>0</c:v>
                </c:pt>
                <c:pt idx="3">
                  <c:v>0</c:v>
                </c:pt>
                <c:pt idx="4">
                  <c:v>0</c:v>
                </c:pt>
                <c:pt idx="5">
                  <c:v>0</c:v>
                </c:pt>
              </c:numCache>
            </c:numRef>
          </c:val>
        </c:ser>
        <c:dLbls>
          <c:showLegendKey val="0"/>
          <c:showVal val="0"/>
          <c:showCatName val="0"/>
          <c:showSerName val="0"/>
          <c:showPercent val="0"/>
          <c:showBubbleSize val="0"/>
        </c:dLbls>
        <c:gapWidth val="150"/>
        <c:axId val="307904352"/>
        <c:axId val="307908272"/>
      </c:barChart>
      <c:catAx>
        <c:axId val="30790435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vert="horz"/>
          <a:lstStyle/>
          <a:p>
            <a:pPr>
              <a:defRPr lang="en-US"/>
            </a:pPr>
            <a:endParaRPr lang="en-US"/>
          </a:p>
        </c:txPr>
        <c:crossAx val="307908272"/>
        <c:crosses val="autoZero"/>
        <c:auto val="1"/>
        <c:lblAlgn val="ctr"/>
        <c:lblOffset val="100"/>
        <c:noMultiLvlLbl val="0"/>
      </c:catAx>
      <c:valAx>
        <c:axId val="307908272"/>
        <c:scaling>
          <c:orientation val="minMax"/>
        </c:scaling>
        <c:delete val="0"/>
        <c:axPos val="l"/>
        <c:numFmt formatCode="_(* #,##0.00_);_(* \(#,##0.00\);_(* &quot;-&quot;??_);_(@_)" sourceLinked="1"/>
        <c:majorTickMark val="none"/>
        <c:minorTickMark val="none"/>
        <c:tickLblPos val="nextTo"/>
        <c:spPr>
          <a:ln w="6350">
            <a:noFill/>
          </a:ln>
        </c:spPr>
        <c:txPr>
          <a:bodyPr rot="-60000000" vert="horz"/>
          <a:lstStyle/>
          <a:p>
            <a:pPr>
              <a:defRPr lang="en-US">
                <a:solidFill>
                  <a:schemeClr val="tx1"/>
                </a:solidFill>
              </a:defRPr>
            </a:pPr>
            <a:endParaRPr lang="en-US"/>
          </a:p>
        </c:txPr>
        <c:crossAx val="307904352"/>
        <c:crosses val="autoZero"/>
        <c:crossBetween val="between"/>
      </c:valAx>
      <c:dTable>
        <c:showHorzBorder val="1"/>
        <c:showVertBorder val="1"/>
        <c:showOutline val="1"/>
        <c:showKeys val="1"/>
        <c:spPr>
          <a:noFill/>
          <a:ln w="9525" cap="flat" cmpd="sng" algn="ctr">
            <a:solidFill>
              <a:schemeClr val="bg1"/>
            </a:solidFill>
            <a:round/>
          </a:ln>
          <a:effectLst/>
        </c:spPr>
        <c:txPr>
          <a:bodyPr rot="0" vert="horz"/>
          <a:lstStyle/>
          <a:p>
            <a:pPr rtl="0">
              <a:defRPr lang="en-US">
                <a:solidFill>
                  <a:schemeClr val="tx1"/>
                </a:solidFill>
              </a:defRPr>
            </a:pPr>
            <a:endParaRPr lang="en-US"/>
          </a:p>
        </c:txPr>
      </c:dTable>
      <c:spPr>
        <a:noFill/>
        <a:ln w="25400">
          <a:noFill/>
        </a:ln>
      </c:spPr>
    </c:plotArea>
    <c:plotVisOnly val="1"/>
    <c:dispBlanksAs val="gap"/>
    <c:showDLblsOverMax val="0"/>
  </c:chart>
  <c:spPr>
    <a:solidFill>
      <a:schemeClr val="bg1"/>
    </a:solidFill>
    <a:ln w="9525" cap="flat" cmpd="sng" algn="ctr">
      <a:noFill/>
      <a:round/>
    </a:ln>
    <a:effectLst/>
  </c:spPr>
  <c:txPr>
    <a:bodyPr/>
    <a:lstStyle/>
    <a:p>
      <a:pPr>
        <a:defRPr sz="1050">
          <a:solidFill>
            <a:srgbClr val="002060"/>
          </a:solidFill>
          <a:latin typeface="Arial" panose="020B0604020202020204" pitchFamily="34" charset="0"/>
          <a:cs typeface="Arial" panose="020B0604020202020204" pitchFamily="34" charset="0"/>
        </a:defRPr>
      </a:pPr>
      <a:endParaRPr lang="en-US"/>
    </a:p>
  </c:txPr>
  <c:printSettings>
    <c:headerFooter/>
    <c:pageMargins b="0.75000000000000022" l="0.70000000000000018" r="0.70000000000000018" t="0.75000000000000022" header="0.3000000000000001" footer="0.3000000000000001"/>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t" anchorCtr="1"/>
          <a:lstStyle/>
          <a:p>
            <a:pPr>
              <a:defRPr lang="en-US" sz="1800" b="1" i="0" u="none" strike="noStrike" kern="1200" baseline="0">
                <a:solidFill>
                  <a:sysClr val="windowText" lastClr="000000"/>
                </a:solidFill>
                <a:latin typeface="+mn-lt"/>
                <a:ea typeface="+mn-ea"/>
                <a:cs typeface="+mn-cs"/>
              </a:defRPr>
            </a:pPr>
            <a:r>
              <a:rPr lang="en-US" sz="1200" b="1" i="0" baseline="0">
                <a:solidFill>
                  <a:sysClr val="windowText" lastClr="000000"/>
                </a:solidFill>
                <a:effectLst/>
              </a:rPr>
              <a:t>Comprehensive and Integrated Infrastructure Program (CIIP)</a:t>
            </a:r>
          </a:p>
          <a:p>
            <a:pPr>
              <a:defRPr lang="en-US" sz="1800" b="1" i="0" u="none" strike="noStrike" kern="1200" baseline="0">
                <a:solidFill>
                  <a:sysClr val="windowText" lastClr="000000"/>
                </a:solidFill>
                <a:latin typeface="+mn-lt"/>
                <a:ea typeface="+mn-ea"/>
                <a:cs typeface="+mn-cs"/>
              </a:defRPr>
            </a:pPr>
            <a:r>
              <a:rPr lang="en-US" sz="1100" b="0" i="1" u="none" baseline="0">
                <a:solidFill>
                  <a:sysClr val="windowText" lastClr="000000"/>
                </a:solidFill>
                <a:effectLst/>
              </a:rPr>
              <a:t>Total Infrastructure Investment of PhP7.27 trillion; </a:t>
            </a:r>
          </a:p>
          <a:p>
            <a:pPr>
              <a:defRPr lang="en-US" sz="1800" b="1" i="0" u="none" strike="noStrike" kern="1200" baseline="0">
                <a:solidFill>
                  <a:sysClr val="windowText" lastClr="000000"/>
                </a:solidFill>
                <a:latin typeface="+mn-lt"/>
                <a:ea typeface="+mn-ea"/>
                <a:cs typeface="+mn-cs"/>
              </a:defRPr>
            </a:pPr>
            <a:r>
              <a:rPr lang="en-US" sz="1100" b="0" i="1" u="none" strike="noStrike" baseline="0">
                <a:solidFill>
                  <a:sysClr val="windowText" lastClr="000000"/>
                </a:solidFill>
                <a:effectLst/>
              </a:rPr>
              <a:t>Years: 2013-2016 and Beyond</a:t>
            </a:r>
            <a:endParaRPr lang="en-US" sz="1100" i="1" u="none">
              <a:solidFill>
                <a:sysClr val="windowText" lastClr="000000"/>
              </a:solidFill>
              <a:effectLst/>
            </a:endParaRPr>
          </a:p>
        </c:rich>
      </c:tx>
      <c:layout>
        <c:manualLayout>
          <c:xMode val="edge"/>
          <c:yMode val="edge"/>
          <c:x val="0.14188106165873651"/>
          <c:y val="1.6631718849351482E-2"/>
        </c:manualLayout>
      </c:layout>
      <c:overlay val="0"/>
      <c:spPr>
        <a:noFill/>
        <a:ln w="25400">
          <a:noFill/>
        </a:ln>
      </c:spPr>
    </c:title>
    <c:autoTitleDeleted val="0"/>
    <c:plotArea>
      <c:layout>
        <c:manualLayout>
          <c:layoutTarget val="inner"/>
          <c:xMode val="edge"/>
          <c:yMode val="edge"/>
          <c:x val="0.16368652682862722"/>
          <c:y val="0.16059404123564852"/>
          <c:w val="0.69970641748894569"/>
          <c:h val="0.70806843595640512"/>
        </c:manualLayout>
      </c:layout>
      <c:pieChart>
        <c:varyColors val="1"/>
        <c:ser>
          <c:idx val="0"/>
          <c:order val="0"/>
          <c:tx>
            <c:strRef>
              <c:f>'Summary Tables &amp; Charts'!$K$302</c:f>
              <c:strCache>
                <c:ptCount val="1"/>
                <c:pt idx="0">
                  <c:v>Investment Cost
(in Thousand PhP)</c:v>
                </c:pt>
              </c:strCache>
            </c:strRef>
          </c:tx>
          <c:dPt>
            <c:idx val="0"/>
            <c:bubble3D val="0"/>
            <c:spPr>
              <a:solidFill>
                <a:srgbClr val="7030A0"/>
              </a:solidFill>
              <a:ln>
                <a:noFill/>
              </a:ln>
              <a:effectLst>
                <a:outerShdw blurRad="254000" sx="102000" sy="102000" algn="ctr" rotWithShape="0">
                  <a:prstClr val="black">
                    <a:alpha val="20000"/>
                  </a:prstClr>
                </a:outerShdw>
              </a:effectLst>
            </c:spPr>
          </c:dPt>
          <c:dPt>
            <c:idx val="1"/>
            <c:bubble3D val="0"/>
            <c:spPr>
              <a:solidFill>
                <a:schemeClr val="bg1">
                  <a:lumMod val="65000"/>
                </a:schemeClr>
              </a:solidFill>
              <a:ln>
                <a:noFill/>
              </a:ln>
              <a:effectLst>
                <a:outerShdw blurRad="254000" sx="102000" sy="102000" algn="ctr" rotWithShape="0">
                  <a:prstClr val="black">
                    <a:alpha val="20000"/>
                  </a:prstClr>
                </a:outerShdw>
              </a:effectLst>
            </c:spPr>
          </c:dPt>
          <c:dPt>
            <c:idx val="2"/>
            <c:bubble3D val="0"/>
            <c:spPr>
              <a:solidFill>
                <a:srgbClr val="0070C0"/>
              </a:solidFill>
              <a:ln>
                <a:noFill/>
              </a:ln>
              <a:effectLst>
                <a:outerShdw blurRad="254000" sx="102000" sy="102000" algn="ctr" rotWithShape="0">
                  <a:prstClr val="black">
                    <a:alpha val="20000"/>
                  </a:prstClr>
                </a:outerShdw>
              </a:effectLst>
            </c:spPr>
          </c:dPt>
          <c:dPt>
            <c:idx val="3"/>
            <c:bubble3D val="0"/>
            <c:spPr>
              <a:solidFill>
                <a:srgbClr val="FFFF00"/>
              </a:solidFill>
              <a:ln>
                <a:noFill/>
              </a:ln>
              <a:effectLst>
                <a:outerShdw blurRad="254000" sx="102000" sy="102000" algn="ctr" rotWithShape="0">
                  <a:prstClr val="black">
                    <a:alpha val="20000"/>
                  </a:prstClr>
                </a:outerShdw>
              </a:effectLst>
            </c:spPr>
          </c:dPt>
          <c:dPt>
            <c:idx val="4"/>
            <c:bubble3D val="0"/>
            <c:spPr>
              <a:solidFill>
                <a:srgbClr val="00B050"/>
              </a:solidFill>
              <a:ln>
                <a:noFill/>
              </a:ln>
              <a:effectLst>
                <a:outerShdw blurRad="254000" sx="102000" sy="102000" algn="ctr" rotWithShape="0">
                  <a:prstClr val="black">
                    <a:alpha val="20000"/>
                  </a:prstClr>
                </a:outerShdw>
              </a:effectLst>
            </c:spPr>
          </c:dPt>
          <c:dPt>
            <c:idx val="5"/>
            <c:bubble3D val="0"/>
            <c:spPr>
              <a:solidFill>
                <a:srgbClr val="FF0000"/>
              </a:solidFill>
              <a:ln>
                <a:noFill/>
              </a:ln>
              <a:effectLst>
                <a:outerShdw blurRad="254000" sx="102000" sy="102000" algn="ctr" rotWithShape="0">
                  <a:prstClr val="black">
                    <a:alpha val="20000"/>
                  </a:prstClr>
                </a:outerShdw>
              </a:effectLst>
            </c:spPr>
          </c:dPt>
          <c:dLbls>
            <c:dLbl>
              <c:idx val="0"/>
              <c:layout>
                <c:manualLayout>
                  <c:x val="0.13474749793936142"/>
                  <c:y val="1.3217316807126818E-2"/>
                </c:manualLayout>
              </c:layout>
              <c:tx>
                <c:rich>
                  <a:bodyPr rot="0" spcFirstLastPara="1" vertOverflow="ellipsis" vert="horz" wrap="square" lIns="38100" tIns="19050" rIns="38100" bIns="19050" anchor="ctr" anchorCtr="1">
                    <a:noAutofit/>
                  </a:bodyPr>
                  <a:lstStyle/>
                  <a:p>
                    <a:pPr>
                      <a:defRPr lang="en-US" sz="1000" b="1" i="0" u="none" strike="noStrike" kern="1200" baseline="0">
                        <a:solidFill>
                          <a:schemeClr val="lt1"/>
                        </a:solidFill>
                        <a:latin typeface="+mn-lt"/>
                        <a:ea typeface="+mn-ea"/>
                        <a:cs typeface="+mn-cs"/>
                      </a:defRPr>
                    </a:pPr>
                    <a:fld id="{D20D6386-9F0C-4B63-A0C9-4BC3DFD4A5F1}" type="CELLRANGE">
                      <a:rPr lang="en-US" baseline="0"/>
                      <a:pPr>
                        <a:defRPr lang="en-US" sz="1000" b="1" i="0" u="none" strike="noStrike" kern="1200" baseline="0">
                          <a:solidFill>
                            <a:schemeClr val="lt1"/>
                          </a:solidFill>
                          <a:latin typeface="+mn-lt"/>
                          <a:ea typeface="+mn-ea"/>
                          <a:cs typeface="+mn-cs"/>
                        </a:defRPr>
                      </a:pPr>
                      <a:t>[CELLRANGE]</a:t>
                    </a:fld>
                    <a:r>
                      <a:rPr lang="en-US" baseline="0"/>
                      <a:t>[C</a:t>
                    </a:r>
                    <a:fld id="{563EF125-DA2E-4910-931F-622228F41659}" type="PERCENTAGE">
                      <a:rPr lang="en-US" baseline="0"/>
                      <a:pPr>
                        <a:defRPr lang="en-US" sz="1000" b="1" i="0" u="none" strike="noStrike" kern="1200" baseline="0">
                          <a:solidFill>
                            <a:schemeClr val="lt1"/>
                          </a:solidFill>
                          <a:latin typeface="+mn-lt"/>
                          <a:ea typeface="+mn-ea"/>
                          <a:cs typeface="+mn-cs"/>
                        </a:defRPr>
                      </a:pPr>
                      <a:t>[PERCENTAGE]</a:t>
                    </a:fld>
                    <a:endParaRPr lang="en-US" baseline="0"/>
                  </a:p>
                </c:rich>
              </c:tx>
              <c:numFmt formatCode="0.00%" sourceLinked="0"/>
              <c:spPr>
                <a:solidFill>
                  <a:schemeClr val="tx1">
                    <a:lumMod val="65000"/>
                    <a:lumOff val="35000"/>
                  </a:schemeClr>
                </a:solidFill>
                <a:ln>
                  <a:noFill/>
                </a:ln>
                <a:effectLst>
                  <a:outerShdw blurRad="50800" dist="38100" dir="2700000" algn="tl" rotWithShape="0">
                    <a:prstClr val="black">
                      <a:alpha val="40000"/>
                    </a:prstClr>
                  </a:outerShdw>
                </a:effectLst>
              </c:spPr>
              <c:dLblPos val="bestFit"/>
              <c:showLegendKey val="0"/>
              <c:showVal val="0"/>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showDataLabelsRange val="0"/>
                </c:ext>
              </c:extLst>
            </c:dLbl>
            <c:dLbl>
              <c:idx val="1"/>
              <c:layout>
                <c:manualLayout>
                  <c:x val="8.4671735530421885E-2"/>
                  <c:y val="0.10631000791164941"/>
                </c:manualLayout>
              </c:layout>
              <c:tx>
                <c:rich>
                  <a:bodyPr rot="0" spcFirstLastPara="1" vertOverflow="ellipsis" vert="horz" wrap="square" lIns="38100" tIns="19050" rIns="38100" bIns="19050" anchor="ctr" anchorCtr="1">
                    <a:noAutofit/>
                  </a:bodyPr>
                  <a:lstStyle/>
                  <a:p>
                    <a:pPr>
                      <a:defRPr lang="en-US" sz="1000" b="1" i="0" u="none" strike="noStrike" kern="1200" baseline="0">
                        <a:solidFill>
                          <a:schemeClr val="lt1"/>
                        </a:solidFill>
                        <a:latin typeface="+mn-lt"/>
                        <a:ea typeface="+mn-ea"/>
                        <a:cs typeface="+mn-cs"/>
                      </a:defRPr>
                    </a:pPr>
                    <a:fld id="{707118B6-E2CC-4574-84D6-C005D52C182B}" type="CELLRANGE">
                      <a:rPr lang="en-US" baseline="0"/>
                      <a:pPr>
                        <a:defRPr lang="en-US" sz="1000" b="1" i="0" u="none" strike="noStrike" kern="1200" baseline="0">
                          <a:solidFill>
                            <a:schemeClr val="lt1"/>
                          </a:solidFill>
                          <a:latin typeface="+mn-lt"/>
                          <a:ea typeface="+mn-ea"/>
                          <a:cs typeface="+mn-cs"/>
                        </a:defRPr>
                      </a:pPr>
                      <a:t>[CELLRANGE]</a:t>
                    </a:fld>
                    <a:r>
                      <a:rPr lang="en-US" baseline="0"/>
                      <a:t>[C</a:t>
                    </a:r>
                    <a:fld id="{4129895A-DC10-45A8-BB04-D982FEC6300E}" type="PERCENTAGE">
                      <a:rPr lang="en-US" baseline="0"/>
                      <a:pPr>
                        <a:defRPr lang="en-US" sz="1000" b="1" i="0" u="none" strike="noStrike" kern="1200" baseline="0">
                          <a:solidFill>
                            <a:schemeClr val="lt1"/>
                          </a:solidFill>
                          <a:latin typeface="+mn-lt"/>
                          <a:ea typeface="+mn-ea"/>
                          <a:cs typeface="+mn-cs"/>
                        </a:defRPr>
                      </a:pPr>
                      <a:t>[PERCENTAGE]</a:t>
                    </a:fld>
                    <a:endParaRPr lang="en-US" baseline="0"/>
                  </a:p>
                </c:rich>
              </c:tx>
              <c:numFmt formatCode="0.00%" sourceLinked="0"/>
              <c:spPr>
                <a:solidFill>
                  <a:schemeClr val="tx1">
                    <a:lumMod val="65000"/>
                    <a:lumOff val="35000"/>
                  </a:schemeClr>
                </a:solidFill>
                <a:ln>
                  <a:noFill/>
                </a:ln>
                <a:effectLst>
                  <a:outerShdw blurRad="50800" dist="38100" dir="2700000" algn="tl" rotWithShape="0">
                    <a:prstClr val="black">
                      <a:alpha val="40000"/>
                    </a:prstClr>
                  </a:outerShdw>
                </a:effectLst>
              </c:spPr>
              <c:dLblPos val="bestFit"/>
              <c:showLegendKey val="0"/>
              <c:showVal val="0"/>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showDataLabelsRange val="0"/>
                </c:ext>
              </c:extLst>
            </c:dLbl>
            <c:dLbl>
              <c:idx val="2"/>
              <c:layout>
                <c:manualLayout>
                  <c:x val="-0.1771570618229597"/>
                  <c:y val="8.3922516701026018E-2"/>
                </c:manualLayout>
              </c:layout>
              <c:tx>
                <c:rich>
                  <a:bodyPr rot="0" spcFirstLastPara="1" vertOverflow="ellipsis" vert="horz" wrap="square" lIns="38100" tIns="19050" rIns="38100" bIns="19050" anchor="ctr" anchorCtr="1">
                    <a:noAutofit/>
                  </a:bodyPr>
                  <a:lstStyle/>
                  <a:p>
                    <a:pPr>
                      <a:defRPr lang="en-US" sz="1000" b="1" i="0" u="none" strike="noStrike" kern="1200" baseline="0">
                        <a:solidFill>
                          <a:schemeClr val="lt1"/>
                        </a:solidFill>
                        <a:latin typeface="+mn-lt"/>
                        <a:ea typeface="+mn-ea"/>
                        <a:cs typeface="+mn-cs"/>
                      </a:defRPr>
                    </a:pPr>
                    <a:fld id="{6EAEDE65-8157-4342-A30E-CC6FE5CBAF79}" type="CELLRANGE">
                      <a:rPr lang="en-US" baseline="0"/>
                      <a:pPr>
                        <a:defRPr lang="en-US" sz="1000" b="1" i="0" u="none" strike="noStrike" kern="1200" baseline="0">
                          <a:solidFill>
                            <a:schemeClr val="lt1"/>
                          </a:solidFill>
                          <a:latin typeface="+mn-lt"/>
                          <a:ea typeface="+mn-ea"/>
                          <a:cs typeface="+mn-cs"/>
                        </a:defRPr>
                      </a:pPr>
                      <a:t>[CELLRANGE]</a:t>
                    </a:fld>
                    <a:r>
                      <a:rPr lang="en-US" baseline="0"/>
                      <a:t>[C</a:t>
                    </a:r>
                    <a:fld id="{694D8EE6-31AC-4046-87B6-B0ABAB53DA67}" type="PERCENTAGE">
                      <a:rPr lang="en-US" baseline="0"/>
                      <a:pPr>
                        <a:defRPr lang="en-US" sz="1000" b="1" i="0" u="none" strike="noStrike" kern="1200" baseline="0">
                          <a:solidFill>
                            <a:schemeClr val="lt1"/>
                          </a:solidFill>
                          <a:latin typeface="+mn-lt"/>
                          <a:ea typeface="+mn-ea"/>
                          <a:cs typeface="+mn-cs"/>
                        </a:defRPr>
                      </a:pPr>
                      <a:t>[PERCENTAGE]</a:t>
                    </a:fld>
                    <a:endParaRPr lang="en-US" baseline="0"/>
                  </a:p>
                </c:rich>
              </c:tx>
              <c:numFmt formatCode="0.00%" sourceLinked="0"/>
              <c:spPr>
                <a:solidFill>
                  <a:schemeClr val="tx1">
                    <a:lumMod val="65000"/>
                    <a:lumOff val="35000"/>
                  </a:schemeClr>
                </a:solidFill>
                <a:ln>
                  <a:noFill/>
                </a:ln>
                <a:effectLst>
                  <a:outerShdw blurRad="50800" dist="38100" dir="2700000" algn="tl" rotWithShape="0">
                    <a:prstClr val="black">
                      <a:alpha val="40000"/>
                    </a:prstClr>
                  </a:outerShdw>
                </a:effectLst>
              </c:spPr>
              <c:dLblPos val="bestFit"/>
              <c:showLegendKey val="0"/>
              <c:showVal val="0"/>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showDataLabelsRange val="0"/>
                </c:ext>
              </c:extLst>
            </c:dLbl>
            <c:dLbl>
              <c:idx val="3"/>
              <c:layout>
                <c:manualLayout>
                  <c:x val="-0.18369600402966085"/>
                  <c:y val="-0.15590609699908206"/>
                </c:manualLayout>
              </c:layout>
              <c:tx>
                <c:rich>
                  <a:bodyPr rot="0" spcFirstLastPara="1" vertOverflow="ellipsis" vert="horz" wrap="square" lIns="38100" tIns="19050" rIns="38100" bIns="19050" anchor="ctr" anchorCtr="1">
                    <a:noAutofit/>
                  </a:bodyPr>
                  <a:lstStyle/>
                  <a:p>
                    <a:pPr>
                      <a:defRPr lang="en-US" sz="1000" b="1" i="0" u="none" strike="noStrike" kern="1200" baseline="0">
                        <a:solidFill>
                          <a:schemeClr val="lt1"/>
                        </a:solidFill>
                        <a:latin typeface="+mn-lt"/>
                        <a:ea typeface="+mn-ea"/>
                        <a:cs typeface="+mn-cs"/>
                      </a:defRPr>
                    </a:pPr>
                    <a:fld id="{F4C43270-ECB7-4451-966B-B00D9E88F0F1}" type="CELLRANGE">
                      <a:rPr lang="en-US" baseline="0"/>
                      <a:pPr>
                        <a:defRPr lang="en-US" sz="1000" b="1" i="0" u="none" strike="noStrike" kern="1200" baseline="0">
                          <a:solidFill>
                            <a:schemeClr val="lt1"/>
                          </a:solidFill>
                          <a:latin typeface="+mn-lt"/>
                          <a:ea typeface="+mn-ea"/>
                          <a:cs typeface="+mn-cs"/>
                        </a:defRPr>
                      </a:pPr>
                      <a:t>[CELLRANGE]</a:t>
                    </a:fld>
                    <a:r>
                      <a:rPr lang="en-US" baseline="0"/>
                      <a:t>[C</a:t>
                    </a:r>
                    <a:fld id="{50AE1168-492C-47C0-A661-8F589625E59C}" type="PERCENTAGE">
                      <a:rPr lang="en-US" baseline="0"/>
                      <a:pPr>
                        <a:defRPr lang="en-US" sz="1000" b="1" i="0" u="none" strike="noStrike" kern="1200" baseline="0">
                          <a:solidFill>
                            <a:schemeClr val="lt1"/>
                          </a:solidFill>
                          <a:latin typeface="+mn-lt"/>
                          <a:ea typeface="+mn-ea"/>
                          <a:cs typeface="+mn-cs"/>
                        </a:defRPr>
                      </a:pPr>
                      <a:t>[PERCENTAGE]</a:t>
                    </a:fld>
                    <a:endParaRPr lang="en-US" baseline="0"/>
                  </a:p>
                </c:rich>
              </c:tx>
              <c:numFmt formatCode="0.00%" sourceLinked="0"/>
              <c:spPr>
                <a:solidFill>
                  <a:schemeClr val="tx1">
                    <a:lumMod val="65000"/>
                    <a:lumOff val="35000"/>
                  </a:schemeClr>
                </a:solidFill>
                <a:ln>
                  <a:noFill/>
                </a:ln>
                <a:effectLst>
                  <a:outerShdw blurRad="50800" dist="38100" dir="2700000" algn="tl" rotWithShape="0">
                    <a:prstClr val="black">
                      <a:alpha val="40000"/>
                    </a:prstClr>
                  </a:outerShdw>
                </a:effectLst>
              </c:spPr>
              <c:dLblPos val="bestFit"/>
              <c:showLegendKey val="0"/>
              <c:showVal val="0"/>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showDataLabelsRange val="0"/>
                </c:ext>
              </c:extLst>
            </c:dLbl>
            <c:dLbl>
              <c:idx val="4"/>
              <c:layout>
                <c:manualLayout>
                  <c:x val="0.10684842543716068"/>
                  <c:y val="-0.19218891552858303"/>
                </c:manualLayout>
              </c:layout>
              <c:tx>
                <c:rich>
                  <a:bodyPr rot="0" spcFirstLastPara="1" vertOverflow="ellipsis" vert="horz" wrap="square" lIns="38100" tIns="19050" rIns="38100" bIns="19050" anchor="ctr" anchorCtr="1">
                    <a:noAutofit/>
                  </a:bodyPr>
                  <a:lstStyle/>
                  <a:p>
                    <a:pPr>
                      <a:defRPr lang="en-US" sz="1000" b="1" i="0" u="none" strike="noStrike" kern="1200" baseline="0">
                        <a:solidFill>
                          <a:schemeClr val="lt1"/>
                        </a:solidFill>
                        <a:latin typeface="+mn-lt"/>
                        <a:ea typeface="+mn-ea"/>
                        <a:cs typeface="+mn-cs"/>
                      </a:defRPr>
                    </a:pPr>
                    <a:fld id="{C9651CC0-38DA-40A7-B454-3388EDB491B9}" type="CELLRANGE">
                      <a:rPr lang="en-US" baseline="0"/>
                      <a:pPr>
                        <a:defRPr lang="en-US" sz="1000" b="1" i="0" u="none" strike="noStrike" kern="1200" baseline="0">
                          <a:solidFill>
                            <a:schemeClr val="lt1"/>
                          </a:solidFill>
                          <a:latin typeface="+mn-lt"/>
                          <a:ea typeface="+mn-ea"/>
                          <a:cs typeface="+mn-cs"/>
                        </a:defRPr>
                      </a:pPr>
                      <a:t>[CELLRANGE]</a:t>
                    </a:fld>
                    <a:r>
                      <a:rPr lang="en-US" baseline="0"/>
                      <a:t>[C</a:t>
                    </a:r>
                    <a:fld id="{B039F86B-CF0A-4225-90D9-35B69681C0FB}" type="PERCENTAGE">
                      <a:rPr lang="en-US" baseline="0"/>
                      <a:pPr>
                        <a:defRPr lang="en-US" sz="1000" b="1" i="0" u="none" strike="noStrike" kern="1200" baseline="0">
                          <a:solidFill>
                            <a:schemeClr val="lt1"/>
                          </a:solidFill>
                          <a:latin typeface="+mn-lt"/>
                          <a:ea typeface="+mn-ea"/>
                          <a:cs typeface="+mn-cs"/>
                        </a:defRPr>
                      </a:pPr>
                      <a:t>[PERCENTAGE]</a:t>
                    </a:fld>
                    <a:endParaRPr lang="en-US" baseline="0"/>
                  </a:p>
                </c:rich>
              </c:tx>
              <c:numFmt formatCode="0.00%" sourceLinked="0"/>
              <c:spPr>
                <a:solidFill>
                  <a:schemeClr val="tx1">
                    <a:lumMod val="65000"/>
                    <a:lumOff val="35000"/>
                  </a:schemeClr>
                </a:solidFill>
                <a:ln>
                  <a:noFill/>
                </a:ln>
                <a:effectLst>
                  <a:outerShdw blurRad="50800" dist="38100" dir="2700000" algn="tl" rotWithShape="0">
                    <a:prstClr val="black">
                      <a:alpha val="40000"/>
                    </a:prstClr>
                  </a:outerShdw>
                </a:effectLst>
              </c:spPr>
              <c:dLblPos val="bestFit"/>
              <c:showLegendKey val="0"/>
              <c:showVal val="0"/>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showDataLabelsRange val="0"/>
                </c:ext>
              </c:extLst>
            </c:dLbl>
            <c:dLbl>
              <c:idx val="5"/>
              <c:layout>
                <c:manualLayout>
                  <c:x val="0.25605374787418161"/>
                  <c:y val="7.7831239121816012E-2"/>
                </c:manualLayout>
              </c:layout>
              <c:tx>
                <c:rich>
                  <a:bodyPr rot="0" spcFirstLastPara="1" vertOverflow="ellipsis" vert="horz" wrap="square" lIns="38100" tIns="19050" rIns="38100" bIns="19050" anchor="ctr" anchorCtr="1">
                    <a:noAutofit/>
                  </a:bodyPr>
                  <a:lstStyle/>
                  <a:p>
                    <a:pPr>
                      <a:defRPr lang="en-US" sz="1000" b="1" i="0" u="none" strike="noStrike" kern="1200" baseline="0">
                        <a:solidFill>
                          <a:schemeClr val="lt1"/>
                        </a:solidFill>
                        <a:latin typeface="+mn-lt"/>
                        <a:ea typeface="+mn-ea"/>
                        <a:cs typeface="+mn-cs"/>
                      </a:defRPr>
                    </a:pPr>
                    <a:fld id="{EA688DB1-1F8C-4082-B11A-B83F3A20726A}" type="CELLRANGE">
                      <a:rPr lang="en-US" baseline="0"/>
                      <a:pPr>
                        <a:defRPr lang="en-US" sz="1000" b="1" i="0" u="none" strike="noStrike" kern="1200" baseline="0">
                          <a:solidFill>
                            <a:schemeClr val="lt1"/>
                          </a:solidFill>
                          <a:latin typeface="+mn-lt"/>
                          <a:ea typeface="+mn-ea"/>
                          <a:cs typeface="+mn-cs"/>
                        </a:defRPr>
                      </a:pPr>
                      <a:t>[CELLRANGE]</a:t>
                    </a:fld>
                    <a:r>
                      <a:rPr lang="en-US" baseline="0"/>
                      <a:t>[C</a:t>
                    </a:r>
                    <a:fld id="{C54E833D-F7CC-4E35-942F-9D6F71DE27BD}" type="PERCENTAGE">
                      <a:rPr lang="en-US" baseline="0"/>
                      <a:pPr>
                        <a:defRPr lang="en-US" sz="1000" b="1" i="0" u="none" strike="noStrike" kern="1200" baseline="0">
                          <a:solidFill>
                            <a:schemeClr val="lt1"/>
                          </a:solidFill>
                          <a:latin typeface="+mn-lt"/>
                          <a:ea typeface="+mn-ea"/>
                          <a:cs typeface="+mn-cs"/>
                        </a:defRPr>
                      </a:pPr>
                      <a:t>[PERCENTAGE]</a:t>
                    </a:fld>
                    <a:endParaRPr lang="en-US" baseline="0"/>
                  </a:p>
                </c:rich>
              </c:tx>
              <c:numFmt formatCode="0.00%" sourceLinked="0"/>
              <c:spPr>
                <a:solidFill>
                  <a:schemeClr val="tx1">
                    <a:lumMod val="65000"/>
                    <a:lumOff val="35000"/>
                  </a:schemeClr>
                </a:solidFill>
                <a:ln>
                  <a:noFill/>
                </a:ln>
                <a:effectLst>
                  <a:outerShdw blurRad="50800" dist="38100" dir="2700000" algn="tl" rotWithShape="0">
                    <a:prstClr val="black">
                      <a:alpha val="40000"/>
                    </a:prstClr>
                  </a:outerShdw>
                </a:effectLst>
              </c:spPr>
              <c:dLblPos val="bestFit"/>
              <c:showLegendKey val="0"/>
              <c:showVal val="0"/>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showDataLabelsRange val="0"/>
                </c:ext>
              </c:extLst>
            </c:dLbl>
            <c:numFmt formatCode="0.00%" sourceLinked="0"/>
            <c:spPr>
              <a:solidFill>
                <a:schemeClr val="tx1">
                  <a:lumMod val="65000"/>
                  <a:lumOff val="35000"/>
                </a:schemeClr>
              </a:solidFill>
              <a:ln>
                <a:noFill/>
              </a:ln>
              <a:effectLst>
                <a:outerShdw blurRad="50800" dist="38100" dir="2700000" algn="tl" rotWithShape="0">
                  <a:prstClr val="black">
                    <a:alpha val="40000"/>
                  </a:prstClr>
                </a:outerShdw>
              </a:effectLst>
            </c:spPr>
            <c:txPr>
              <a:bodyPr rot="0" spcFirstLastPara="1" vertOverflow="ellipsis" vert="horz" wrap="square" lIns="38100" tIns="19050" rIns="38100" bIns="19050" anchor="ctr" anchorCtr="1">
                <a:spAutoFit/>
              </a:bodyPr>
              <a:lstStyle/>
              <a:p>
                <a:pPr>
                  <a:defRPr lang="en-US" sz="1000" b="1" i="0" u="none" strike="noStrike" kern="1200" baseline="0">
                    <a:solidFill>
                      <a:schemeClr val="lt1"/>
                    </a:solidFill>
                    <a:latin typeface="+mn-lt"/>
                    <a:ea typeface="+mn-ea"/>
                    <a:cs typeface="+mn-cs"/>
                  </a:defRPr>
                </a:pPr>
                <a:endParaRPr lang="en-US"/>
              </a:p>
            </c:txPr>
            <c:dLblPos val="ctr"/>
            <c:showLegendKey val="0"/>
            <c:showVal val="0"/>
            <c:showCatName val="0"/>
            <c:showSerName val="0"/>
            <c:showPercent val="1"/>
            <c:showBubbleSize val="0"/>
            <c:showLeaderLines val="1"/>
            <c:leaderLines>
              <c:spPr>
                <a:ln w="9525">
                  <a:solidFill>
                    <a:schemeClr val="dk1">
                      <a:lumMod val="50000"/>
                      <a:lumOff val="50000"/>
                    </a:schemeClr>
                  </a:solidFill>
                </a:ln>
                <a:effectLst/>
              </c:spPr>
            </c:leaderLines>
            <c:extLst>
              <c:ext xmlns:c15="http://schemas.microsoft.com/office/drawing/2012/chart" uri="{CE6537A1-D6FC-4f65-9D91-7224C49458BB}"/>
            </c:extLst>
          </c:dLbls>
          <c:cat>
            <c:strRef>
              <c:f>'Summary Tables &amp; Charts'!$C$303:$C$308</c:f>
              <c:strCache>
                <c:ptCount val="6"/>
                <c:pt idx="0">
                  <c:v>ICT</c:v>
                </c:pt>
                <c:pt idx="1">
                  <c:v>Other Public Infrastructure</c:v>
                </c:pt>
                <c:pt idx="2">
                  <c:v>Water Resources</c:v>
                </c:pt>
                <c:pt idx="3">
                  <c:v>Energy</c:v>
                </c:pt>
                <c:pt idx="4">
                  <c:v>Social Infrastructure</c:v>
                </c:pt>
                <c:pt idx="5">
                  <c:v>Transportation</c:v>
                </c:pt>
              </c:strCache>
            </c:strRef>
          </c:cat>
          <c:val>
            <c:numRef>
              <c:f>'Summary Tables &amp; Charts'!$K$303:$K$308</c:f>
              <c:numCache>
                <c:formatCode>_(* #,##0.00_);_(* \(#,##0.00\);_(* "-"??_);_(@_)</c:formatCode>
                <c:ptCount val="6"/>
                <c:pt idx="0">
                  <c:v>0</c:v>
                </c:pt>
                <c:pt idx="1">
                  <c:v>0</c:v>
                </c:pt>
                <c:pt idx="2">
                  <c:v>0</c:v>
                </c:pt>
                <c:pt idx="3">
                  <c:v>0</c:v>
                </c:pt>
                <c:pt idx="4">
                  <c:v>0</c:v>
                </c:pt>
                <c:pt idx="5">
                  <c:v>0</c:v>
                </c:pt>
              </c:numCache>
            </c:numRef>
          </c:val>
        </c:ser>
        <c:dLbls>
          <c:showLegendKey val="0"/>
          <c:showVal val="0"/>
          <c:showCatName val="0"/>
          <c:showSerName val="0"/>
          <c:showPercent val="1"/>
          <c:showBubbleSize val="0"/>
          <c:showLeaderLines val="1"/>
        </c:dLbls>
        <c:firstSliceAng val="21"/>
      </c:pieChart>
      <c:spPr>
        <a:noFill/>
        <a:ln w="25400">
          <a:noFill/>
        </a:ln>
      </c:spPr>
    </c:plotArea>
    <c:legend>
      <c:legendPos val="r"/>
      <c:layout>
        <c:manualLayout>
          <c:xMode val="edge"/>
          <c:yMode val="edge"/>
          <c:x val="0.20416673589638126"/>
          <c:y val="0.88315629742033386"/>
          <c:w val="0.64305577360560906"/>
          <c:h val="8.9529590288315627E-2"/>
        </c:manualLayout>
      </c:layout>
      <c:overlay val="0"/>
      <c:spPr>
        <a:solidFill>
          <a:schemeClr val="bg1">
            <a:lumMod val="95000"/>
          </a:schemeClr>
        </a:solidFill>
        <a:ln>
          <a:solidFill>
            <a:schemeClr val="tx1"/>
          </a:solidFill>
        </a:ln>
        <a:effectLst/>
      </c:spPr>
      <c:txPr>
        <a:bodyPr rot="0" spcFirstLastPara="1" vertOverflow="ellipsis" vert="horz" wrap="square" anchor="ctr" anchorCtr="1"/>
        <a:lstStyle/>
        <a:p>
          <a:pPr>
            <a:defRPr lang="en-US" sz="900" b="0" i="0" u="none" strike="noStrike" kern="1200" baseline="0">
              <a:solidFill>
                <a:schemeClr val="dk1">
                  <a:lumMod val="75000"/>
                  <a:lumOff val="25000"/>
                </a:schemeClr>
              </a:solidFill>
              <a:latin typeface="+mn-lt"/>
              <a:ea typeface="+mn-ea"/>
              <a:cs typeface="+mn-cs"/>
            </a:defRPr>
          </a:pPr>
          <a:endParaRPr lang="en-US"/>
        </a:p>
      </c:txPr>
    </c:legend>
    <c:plotVisOnly val="1"/>
    <c:dispBlanksAs val="zero"/>
    <c:showDLblsOverMax val="0"/>
  </c:chart>
  <c:spPr>
    <a:noFill/>
    <a:ln w="6350">
      <a:noFill/>
    </a:ln>
  </c:spPr>
  <c:txPr>
    <a:bodyPr/>
    <a:lstStyle/>
    <a:p>
      <a:pPr>
        <a:defRPr/>
      </a:pPr>
      <a:endParaRPr lang="en-US"/>
    </a:p>
  </c:txPr>
  <c:printSettings>
    <c:headerFooter/>
    <c:pageMargins b="0.75000000000000022" l="0.70000000000000018" r="0.70000000000000018" t="0.75000000000000022" header="0.3000000000000001" footer="0.3000000000000001"/>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t" anchorCtr="1"/>
          <a:lstStyle/>
          <a:p>
            <a:pPr algn="l">
              <a:defRPr lang="en-US" sz="1200" b="1" i="0" u="none" strike="noStrike" kern="1200" baseline="0">
                <a:solidFill>
                  <a:sysClr val="windowText" lastClr="000000"/>
                </a:solidFill>
                <a:latin typeface="+mn-lt"/>
                <a:ea typeface="+mn-ea"/>
                <a:cs typeface="+mn-cs"/>
              </a:defRPr>
            </a:pPr>
            <a:r>
              <a:rPr lang="en-US" sz="1200" b="0" i="1" u="none" baseline="0">
                <a:solidFill>
                  <a:sysClr val="windowText" lastClr="000000"/>
                </a:solidFill>
                <a:effectLst/>
              </a:rPr>
              <a:t>Total Infrastructure Investment of PhP7.27 trillion; </a:t>
            </a:r>
          </a:p>
          <a:p>
            <a:pPr algn="l">
              <a:defRPr lang="en-US" sz="1200" b="1" i="0" u="none" strike="noStrike" kern="1200" baseline="0">
                <a:solidFill>
                  <a:sysClr val="windowText" lastClr="000000"/>
                </a:solidFill>
                <a:latin typeface="+mn-lt"/>
                <a:ea typeface="+mn-ea"/>
                <a:cs typeface="+mn-cs"/>
              </a:defRPr>
            </a:pPr>
            <a:r>
              <a:rPr lang="en-US" sz="1200" b="0" i="1" u="none" strike="noStrike" baseline="0">
                <a:solidFill>
                  <a:sysClr val="windowText" lastClr="000000"/>
                </a:solidFill>
                <a:effectLst/>
              </a:rPr>
              <a:t>Years: 2013-2016 and Beyond</a:t>
            </a:r>
            <a:endParaRPr lang="en-US" sz="1200" i="1" u="none">
              <a:solidFill>
                <a:sysClr val="windowText" lastClr="000000"/>
              </a:solidFill>
              <a:effectLst/>
            </a:endParaRPr>
          </a:p>
        </c:rich>
      </c:tx>
      <c:layout>
        <c:manualLayout>
          <c:xMode val="edge"/>
          <c:yMode val="edge"/>
          <c:x val="1.2607306261943844E-2"/>
          <c:y val="1.6463115520964505E-2"/>
        </c:manualLayout>
      </c:layout>
      <c:overlay val="0"/>
      <c:spPr>
        <a:noFill/>
        <a:ln w="25400">
          <a:noFill/>
        </a:ln>
      </c:spPr>
    </c:title>
    <c:autoTitleDeleted val="0"/>
    <c:plotArea>
      <c:layout>
        <c:manualLayout>
          <c:layoutTarget val="inner"/>
          <c:xMode val="edge"/>
          <c:yMode val="edge"/>
          <c:x val="0.23522231836699184"/>
          <c:y val="9.6926167452098075E-2"/>
          <c:w val="0.55126738570064127"/>
          <c:h val="0.76919084758845901"/>
        </c:manualLayout>
      </c:layout>
      <c:pieChart>
        <c:varyColors val="1"/>
        <c:ser>
          <c:idx val="0"/>
          <c:order val="0"/>
          <c:tx>
            <c:strRef>
              <c:f>'Summary Tables &amp; Charts'!$J$209</c:f>
              <c:strCache>
                <c:ptCount val="1"/>
                <c:pt idx="0">
                  <c:v>Investment Cost
(in Thousand PhP)</c:v>
                </c:pt>
              </c:strCache>
            </c:strRef>
          </c:tx>
          <c:dPt>
            <c:idx val="0"/>
            <c:bubble3D val="0"/>
            <c:spPr>
              <a:solidFill>
                <a:schemeClr val="bg1">
                  <a:lumMod val="50000"/>
                </a:schemeClr>
              </a:solidFill>
              <a:ln>
                <a:noFill/>
              </a:ln>
              <a:effectLst>
                <a:outerShdw blurRad="254000" sx="102000" sy="102000" algn="ctr" rotWithShape="0">
                  <a:prstClr val="black">
                    <a:alpha val="20000"/>
                  </a:prstClr>
                </a:outerShdw>
              </a:effectLst>
            </c:spPr>
          </c:dPt>
          <c:dPt>
            <c:idx val="1"/>
            <c:bubble3D val="0"/>
            <c:spPr>
              <a:solidFill>
                <a:schemeClr val="tx1"/>
              </a:solidFill>
              <a:ln>
                <a:noFill/>
              </a:ln>
              <a:effectLst>
                <a:outerShdw blurRad="254000" sx="102000" sy="102000" algn="ctr" rotWithShape="0">
                  <a:prstClr val="black">
                    <a:alpha val="20000"/>
                  </a:prstClr>
                </a:outerShdw>
              </a:effectLst>
            </c:spPr>
          </c:dPt>
          <c:dPt>
            <c:idx val="2"/>
            <c:bubble3D val="0"/>
            <c:spPr>
              <a:solidFill>
                <a:schemeClr val="bg1"/>
              </a:solidFill>
              <a:ln>
                <a:noFill/>
              </a:ln>
              <a:effectLst>
                <a:outerShdw blurRad="254000" sx="102000" sy="102000" algn="ctr" rotWithShape="0">
                  <a:prstClr val="black">
                    <a:alpha val="20000"/>
                  </a:prstClr>
                </a:outerShdw>
              </a:effectLst>
            </c:spPr>
          </c:dPt>
          <c:dLbls>
            <c:dLbl>
              <c:idx val="0"/>
              <c:layout>
                <c:manualLayout>
                  <c:x val="-0.14580500863683094"/>
                  <c:y val="5.2226347176050271E-2"/>
                </c:manualLayout>
              </c:layout>
              <c:tx>
                <c:rich>
                  <a:bodyPr rot="0" spcFirstLastPara="1" vertOverflow="ellipsis" vert="horz" wrap="square" lIns="38100" tIns="19050" rIns="38100" bIns="19050" anchor="ctr" anchorCtr="1">
                    <a:noAutofit/>
                  </a:bodyPr>
                  <a:lstStyle/>
                  <a:p>
                    <a:pPr>
                      <a:defRPr lang="en-US" sz="1050" b="1" i="0" u="none" strike="noStrike" kern="1200" baseline="0">
                        <a:solidFill>
                          <a:schemeClr val="lt1"/>
                        </a:solidFill>
                        <a:latin typeface="+mn-lt"/>
                        <a:ea typeface="+mn-ea"/>
                        <a:cs typeface="+mn-cs"/>
                      </a:defRPr>
                    </a:pPr>
                    <a:fld id="{1F2131B3-26CF-4E6D-A59E-DEBF4F302E77}" type="CELLRANGE">
                      <a:rPr lang="en-US" sz="1050" baseline="0"/>
                      <a:pPr>
                        <a:defRPr lang="en-US" sz="1050" b="1" i="0" u="none" strike="noStrike" kern="1200" baseline="0">
                          <a:solidFill>
                            <a:schemeClr val="lt1"/>
                          </a:solidFill>
                          <a:latin typeface="+mn-lt"/>
                          <a:ea typeface="+mn-ea"/>
                          <a:cs typeface="+mn-cs"/>
                        </a:defRPr>
                      </a:pPr>
                      <a:t>[CELLRANGE]</a:t>
                    </a:fld>
                    <a:r>
                      <a:rPr lang="en-US" sz="1050" baseline="0"/>
                      <a:t>[C</a:t>
                    </a:r>
                    <a:fld id="{DDF59184-995A-47F8-B320-6451ABB1055D}" type="PERCENTAGE">
                      <a:rPr lang="en-US" sz="1050" baseline="0"/>
                      <a:pPr>
                        <a:defRPr lang="en-US" sz="1050" b="1" i="0" u="none" strike="noStrike" kern="1200" baseline="0">
                          <a:solidFill>
                            <a:schemeClr val="lt1"/>
                          </a:solidFill>
                          <a:latin typeface="+mn-lt"/>
                          <a:ea typeface="+mn-ea"/>
                          <a:cs typeface="+mn-cs"/>
                        </a:defRPr>
                      </a:pPr>
                      <a:t>[PERCENTAGE]</a:t>
                    </a:fld>
                    <a:endParaRPr lang="en-US" sz="1050" baseline="0"/>
                  </a:p>
                </c:rich>
              </c:tx>
              <c:numFmt formatCode="0.00%" sourceLinked="0"/>
              <c:spPr>
                <a:pattFill prst="pct75">
                  <a:fgClr>
                    <a:sysClr val="windowText" lastClr="000000">
                      <a:lumMod val="75000"/>
                      <a:lumOff val="25000"/>
                    </a:sysClr>
                  </a:fgClr>
                  <a:bgClr>
                    <a:sysClr val="windowText" lastClr="000000">
                      <a:lumMod val="65000"/>
                      <a:lumOff val="35000"/>
                    </a:sysClr>
                  </a:bgClr>
                </a:pattFill>
                <a:ln>
                  <a:noFill/>
                </a:ln>
                <a:effectLst>
                  <a:outerShdw blurRad="50800" dist="38100" dir="2700000" algn="tl" rotWithShape="0">
                    <a:prstClr val="black">
                      <a:alpha val="40000"/>
                    </a:prstClr>
                  </a:outerShdw>
                </a:effectLst>
              </c:spPr>
              <c:dLblPos val="bestFit"/>
              <c:showLegendKey val="0"/>
              <c:showVal val="0"/>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showDataLabelsRange val="0"/>
                </c:ext>
              </c:extLst>
            </c:dLbl>
            <c:dLbl>
              <c:idx val="1"/>
              <c:layout>
                <c:manualLayout>
                  <c:x val="-0.12391771372061716"/>
                  <c:y val="-0.21077456614308979"/>
                </c:manualLayout>
              </c:layout>
              <c:tx>
                <c:rich>
                  <a:bodyPr rot="0" spcFirstLastPara="1" vertOverflow="ellipsis" vert="horz" wrap="square" lIns="38100" tIns="19050" rIns="38100" bIns="19050" anchor="ctr" anchorCtr="1">
                    <a:noAutofit/>
                  </a:bodyPr>
                  <a:lstStyle/>
                  <a:p>
                    <a:pPr>
                      <a:defRPr lang="en-US" sz="1050" b="1" i="0" u="none" strike="noStrike" kern="1200" baseline="0">
                        <a:solidFill>
                          <a:schemeClr val="lt1"/>
                        </a:solidFill>
                        <a:latin typeface="+mn-lt"/>
                        <a:ea typeface="+mn-ea"/>
                        <a:cs typeface="+mn-cs"/>
                      </a:defRPr>
                    </a:pPr>
                    <a:fld id="{7FDF614D-7129-4715-AFC4-C5A1DC745C8A}" type="CELLRANGE">
                      <a:rPr lang="en-US" sz="1050" baseline="0"/>
                      <a:pPr>
                        <a:defRPr lang="en-US" sz="1050" b="1" i="0" u="none" strike="noStrike" kern="1200" baseline="0">
                          <a:solidFill>
                            <a:schemeClr val="lt1"/>
                          </a:solidFill>
                          <a:latin typeface="+mn-lt"/>
                          <a:ea typeface="+mn-ea"/>
                          <a:cs typeface="+mn-cs"/>
                        </a:defRPr>
                      </a:pPr>
                      <a:t>[CELLRANGE]</a:t>
                    </a:fld>
                    <a:r>
                      <a:rPr lang="en-US" sz="1050" baseline="0"/>
                      <a:t>[C</a:t>
                    </a:r>
                    <a:fld id="{688365C3-D273-40A1-A00F-E971DC36D073}" type="PERCENTAGE">
                      <a:rPr lang="en-US" sz="1050" baseline="0"/>
                      <a:pPr>
                        <a:defRPr lang="en-US" sz="1050" b="1" i="0" u="none" strike="noStrike" kern="1200" baseline="0">
                          <a:solidFill>
                            <a:schemeClr val="lt1"/>
                          </a:solidFill>
                          <a:latin typeface="+mn-lt"/>
                          <a:ea typeface="+mn-ea"/>
                          <a:cs typeface="+mn-cs"/>
                        </a:defRPr>
                      </a:pPr>
                      <a:t>[PERCENTAGE]</a:t>
                    </a:fld>
                    <a:endParaRPr lang="en-US" sz="1050" baseline="0"/>
                  </a:p>
                </c:rich>
              </c:tx>
              <c:numFmt formatCode="0.00%" sourceLinked="0"/>
              <c:spPr>
                <a:pattFill prst="pct75">
                  <a:fgClr>
                    <a:sysClr val="windowText" lastClr="000000">
                      <a:lumMod val="75000"/>
                      <a:lumOff val="25000"/>
                    </a:sysClr>
                  </a:fgClr>
                  <a:bgClr>
                    <a:sysClr val="windowText" lastClr="000000">
                      <a:lumMod val="65000"/>
                      <a:lumOff val="35000"/>
                    </a:sysClr>
                  </a:bgClr>
                </a:pattFill>
                <a:ln>
                  <a:noFill/>
                </a:ln>
                <a:effectLst>
                  <a:outerShdw blurRad="50800" dist="38100" dir="2700000" algn="tl" rotWithShape="0">
                    <a:prstClr val="black">
                      <a:alpha val="40000"/>
                    </a:prstClr>
                  </a:outerShdw>
                </a:effectLst>
              </c:spPr>
              <c:dLblPos val="bestFit"/>
              <c:showLegendKey val="0"/>
              <c:showVal val="0"/>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showDataLabelsRange val="0"/>
                </c:ext>
              </c:extLst>
            </c:dLbl>
            <c:dLbl>
              <c:idx val="2"/>
              <c:tx>
                <c:rich>
                  <a:bodyPr rot="0" spcFirstLastPara="1" vertOverflow="ellipsis" vert="horz" wrap="square" lIns="38100" tIns="19050" rIns="38100" bIns="19050" anchor="ctr" anchorCtr="1">
                    <a:noAutofit/>
                  </a:bodyPr>
                  <a:lstStyle/>
                  <a:p>
                    <a:pPr>
                      <a:defRPr lang="en-US" sz="1050" b="1" i="0" u="none" strike="noStrike" kern="1200" baseline="0">
                        <a:solidFill>
                          <a:schemeClr val="lt1"/>
                        </a:solidFill>
                        <a:latin typeface="+mn-lt"/>
                        <a:ea typeface="+mn-ea"/>
                        <a:cs typeface="+mn-cs"/>
                      </a:defRPr>
                    </a:pPr>
                    <a:fld id="{40780B4C-B751-451B-B6C0-CC1A76F3B6E9}" type="CELLRANGE">
                      <a:rPr lang="en-US"/>
                      <a:pPr>
                        <a:defRPr lang="en-US" sz="1050" b="1" i="0" u="none" strike="noStrike" kern="1200" baseline="0">
                          <a:solidFill>
                            <a:schemeClr val="lt1"/>
                          </a:solidFill>
                          <a:latin typeface="+mn-lt"/>
                          <a:ea typeface="+mn-ea"/>
                          <a:cs typeface="+mn-cs"/>
                        </a:defRPr>
                      </a:pPr>
                      <a:t>[CELLRANGE]</a:t>
                    </a:fld>
                    <a:r>
                      <a:rPr lang="en-US" baseline="0"/>
                      <a:t>[C</a:t>
                    </a:r>
                    <a:fld id="{D2BE60A0-B269-42B5-B984-91A68156182B}" type="PERCENTAGE">
                      <a:rPr lang="en-US" baseline="0"/>
                      <a:pPr>
                        <a:defRPr lang="en-US" sz="1050" b="1" i="0" u="none" strike="noStrike" kern="1200" baseline="0">
                          <a:solidFill>
                            <a:schemeClr val="lt1"/>
                          </a:solidFill>
                          <a:latin typeface="+mn-lt"/>
                          <a:ea typeface="+mn-ea"/>
                          <a:cs typeface="+mn-cs"/>
                        </a:defRPr>
                      </a:pPr>
                      <a:t>[PERCENTAGE]</a:t>
                    </a:fld>
                    <a:endParaRPr lang="en-US" baseline="0"/>
                  </a:p>
                </c:rich>
              </c:tx>
              <c:numFmt formatCode="0.00%" sourceLinked="0"/>
              <c:spPr>
                <a:pattFill prst="pct75">
                  <a:fgClr>
                    <a:sysClr val="windowText" lastClr="000000">
                      <a:lumMod val="75000"/>
                      <a:lumOff val="25000"/>
                    </a:sysClr>
                  </a:fgClr>
                  <a:bgClr>
                    <a:sysClr val="windowText" lastClr="000000">
                      <a:lumMod val="65000"/>
                      <a:lumOff val="35000"/>
                    </a:sysClr>
                  </a:bgClr>
                </a:pattFill>
                <a:ln>
                  <a:noFill/>
                </a:ln>
                <a:effectLst>
                  <a:outerShdw blurRad="50800" dist="38100" dir="2700000" algn="tl" rotWithShape="0">
                    <a:prstClr val="black">
                      <a:alpha val="40000"/>
                    </a:prstClr>
                  </a:outerShdw>
                </a:effectLst>
              </c:spPr>
              <c:dLblPos val="bestFit"/>
              <c:showLegendKey val="0"/>
              <c:showVal val="0"/>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showDataLabelsRange val="0"/>
                </c:ext>
              </c:extLst>
            </c:dLbl>
            <c:numFmt formatCode="0.00%" sourceLinked="0"/>
            <c:spPr>
              <a:pattFill prst="pct75">
                <a:fgClr>
                  <a:sysClr val="windowText" lastClr="000000">
                    <a:lumMod val="75000"/>
                    <a:lumOff val="25000"/>
                  </a:sysClr>
                </a:fgClr>
                <a:bgClr>
                  <a:sysClr val="windowText" lastClr="000000">
                    <a:lumMod val="65000"/>
                    <a:lumOff val="35000"/>
                  </a:sysClr>
                </a:bgClr>
              </a:pattFill>
              <a:ln>
                <a:noFill/>
              </a:ln>
              <a:effectLst>
                <a:outerShdw blurRad="50800" dist="38100" dir="2700000" algn="tl" rotWithShape="0">
                  <a:prstClr val="black">
                    <a:alpha val="40000"/>
                  </a:prstClr>
                </a:outerShdw>
              </a:effectLst>
            </c:spPr>
            <c:txPr>
              <a:bodyPr rot="0" spcFirstLastPara="1" vertOverflow="ellipsis" vert="horz" wrap="square" lIns="38100" tIns="19050" rIns="38100" bIns="19050" anchor="ctr" anchorCtr="1">
                <a:spAutoFit/>
              </a:bodyPr>
              <a:lstStyle/>
              <a:p>
                <a:pPr>
                  <a:defRPr lang="en-US" sz="1050" b="1" i="0" u="none" strike="noStrike" kern="1200" baseline="0">
                    <a:solidFill>
                      <a:schemeClr val="lt1"/>
                    </a:solidFill>
                    <a:latin typeface="+mn-lt"/>
                    <a:ea typeface="+mn-ea"/>
                    <a:cs typeface="+mn-cs"/>
                  </a:defRPr>
                </a:pPr>
                <a:endParaRPr lang="en-US"/>
              </a:p>
            </c:txPr>
            <c:dLblPos val="ctr"/>
            <c:showLegendKey val="0"/>
            <c:showVal val="0"/>
            <c:showCatName val="0"/>
            <c:showSerName val="0"/>
            <c:showPercent val="1"/>
            <c:showBubbleSize val="0"/>
            <c:showLeaderLines val="1"/>
            <c:leaderLines>
              <c:spPr>
                <a:ln w="9525">
                  <a:solidFill>
                    <a:schemeClr val="dk1">
                      <a:lumMod val="50000"/>
                      <a:lumOff val="50000"/>
                    </a:schemeClr>
                  </a:solidFill>
                </a:ln>
                <a:effectLst/>
              </c:spPr>
            </c:leaderLines>
            <c:extLst>
              <c:ext xmlns:c15="http://schemas.microsoft.com/office/drawing/2012/chart" uri="{CE6537A1-D6FC-4f65-9D91-7224C49458BB}"/>
            </c:extLst>
          </c:dLbls>
          <c:cat>
            <c:strRef>
              <c:f>'Summary Tables &amp; Charts'!$C$210:$C$212</c:f>
              <c:strCache>
                <c:ptCount val="3"/>
                <c:pt idx="0">
                  <c:v>Others / Source Not Indicated</c:v>
                </c:pt>
                <c:pt idx="1">
                  <c:v>Private Sector</c:v>
                </c:pt>
                <c:pt idx="2">
                  <c:v>Government</c:v>
                </c:pt>
              </c:strCache>
            </c:strRef>
          </c:cat>
          <c:val>
            <c:numRef>
              <c:f>'Summary Tables &amp; Charts'!$J$210:$J$212</c:f>
              <c:numCache>
                <c:formatCode>_(* #,##0.00_);_(* \(#,##0.00\);_(* "-"??_);_(@_)</c:formatCode>
                <c:ptCount val="3"/>
                <c:pt idx="0">
                  <c:v>0</c:v>
                </c:pt>
                <c:pt idx="1">
                  <c:v>0</c:v>
                </c:pt>
                <c:pt idx="2">
                  <c:v>0</c:v>
                </c:pt>
              </c:numCache>
            </c:numRef>
          </c:val>
        </c:ser>
        <c:dLbls>
          <c:showLegendKey val="0"/>
          <c:showVal val="0"/>
          <c:showCatName val="0"/>
          <c:showSerName val="0"/>
          <c:showPercent val="1"/>
          <c:showBubbleSize val="0"/>
          <c:showLeaderLines val="1"/>
        </c:dLbls>
        <c:firstSliceAng val="55"/>
      </c:pieChart>
      <c:spPr>
        <a:noFill/>
        <a:ln w="25400">
          <a:noFill/>
        </a:ln>
      </c:spPr>
    </c:plotArea>
    <c:legend>
      <c:legendPos val="r"/>
      <c:layout>
        <c:manualLayout>
          <c:xMode val="edge"/>
          <c:yMode val="edge"/>
          <c:x val="0.14117661251095584"/>
          <c:y val="0.89372226627598805"/>
          <c:w val="0.71764778026402543"/>
          <c:h val="7.8905209094636788E-2"/>
        </c:manualLayout>
      </c:layout>
      <c:overlay val="0"/>
      <c:spPr>
        <a:solidFill>
          <a:schemeClr val="bg1">
            <a:lumMod val="95000"/>
          </a:schemeClr>
        </a:solidFill>
        <a:ln>
          <a:solidFill>
            <a:schemeClr val="tx1"/>
          </a:solidFill>
        </a:ln>
        <a:effectLst/>
      </c:spPr>
      <c:txPr>
        <a:bodyPr rot="0" spcFirstLastPara="1" vertOverflow="ellipsis" vert="horz" wrap="square" anchor="ctr" anchorCtr="1"/>
        <a:lstStyle/>
        <a:p>
          <a:pPr>
            <a:defRPr lang="en-US" sz="1200" b="0" i="0" u="none" strike="noStrike" kern="1200" baseline="0">
              <a:solidFill>
                <a:schemeClr val="dk1">
                  <a:lumMod val="75000"/>
                  <a:lumOff val="25000"/>
                </a:schemeClr>
              </a:solidFill>
              <a:latin typeface="+mn-lt"/>
              <a:ea typeface="+mn-ea"/>
              <a:cs typeface="+mn-cs"/>
            </a:defRPr>
          </a:pPr>
          <a:endParaRPr lang="en-US"/>
        </a:p>
      </c:txPr>
    </c:legend>
    <c:plotVisOnly val="1"/>
    <c:dispBlanksAs val="zero"/>
    <c:showDLblsOverMax val="0"/>
  </c:chart>
  <c:spPr>
    <a:noFill/>
    <a:ln w="9525" cap="flat" cmpd="sng" algn="ctr">
      <a:solidFill>
        <a:schemeClr val="tx1"/>
      </a:solidFill>
      <a:round/>
    </a:ln>
    <a:effectLst/>
  </c:spPr>
  <c:txPr>
    <a:bodyPr/>
    <a:lstStyle/>
    <a:p>
      <a:pPr>
        <a:defRPr/>
      </a:pPr>
      <a:endParaRPr lang="en-US"/>
    </a:p>
  </c:txPr>
  <c:printSettings>
    <c:headerFooter/>
    <c:pageMargins b="0.75000000000000022" l="0.70000000000000018" r="0.70000000000000018" t="0.75000000000000022" header="0.3000000000000001" footer="0.3000000000000001"/>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lang="en-US" sz="1600" b="0" i="0" u="none" strike="noStrike" kern="1200" spc="0" baseline="0">
                <a:solidFill>
                  <a:sysClr val="windowText" lastClr="000000"/>
                </a:solidFill>
                <a:latin typeface="+mn-lt"/>
                <a:ea typeface="+mn-ea"/>
                <a:cs typeface="+mn-cs"/>
              </a:defRPr>
            </a:pPr>
            <a:r>
              <a:rPr lang="en-US" sz="1600" b="1" i="0" u="none" strike="noStrike" baseline="0">
                <a:solidFill>
                  <a:sysClr val="windowText" lastClr="000000"/>
                </a:solidFill>
                <a:effectLst/>
              </a:rPr>
              <a:t>Comprehensive and Integrated Infrastructure Program (CIIP), </a:t>
            </a:r>
            <a:r>
              <a:rPr lang="en-PH" sz="1600" b="1" i="0" u="none" strike="noStrike" baseline="0">
                <a:solidFill>
                  <a:sysClr val="windowText" lastClr="000000"/>
                </a:solidFill>
                <a:effectLst/>
              </a:rPr>
              <a:t>by Agency</a:t>
            </a:r>
          </a:p>
          <a:p>
            <a:pPr>
              <a:defRPr lang="en-US" sz="1600" b="0" i="0" u="none" strike="noStrike" kern="1200" spc="0" baseline="0">
                <a:solidFill>
                  <a:sysClr val="windowText" lastClr="000000"/>
                </a:solidFill>
                <a:latin typeface="+mn-lt"/>
                <a:ea typeface="+mn-ea"/>
                <a:cs typeface="+mn-cs"/>
              </a:defRPr>
            </a:pPr>
            <a:r>
              <a:rPr lang="en-PH" sz="1600" b="0" i="1" u="none" strike="noStrike" baseline="0">
                <a:solidFill>
                  <a:sysClr val="windowText" lastClr="000000"/>
                </a:solidFill>
                <a:effectLst/>
              </a:rPr>
              <a:t>Investment Costs, In Thousand PhP; Total Investments: PhP7.27 trillion</a:t>
            </a:r>
            <a:endParaRPr lang="en-US" sz="1600" b="0" i="1">
              <a:solidFill>
                <a:sysClr val="windowText" lastClr="000000"/>
              </a:solidFill>
            </a:endParaRPr>
          </a:p>
        </c:rich>
      </c:tx>
      <c:overlay val="0"/>
      <c:spPr>
        <a:noFill/>
        <a:ln w="25400">
          <a:noFill/>
        </a:ln>
      </c:spPr>
    </c:title>
    <c:autoTitleDeleted val="0"/>
    <c:plotArea>
      <c:layout>
        <c:manualLayout>
          <c:layoutTarget val="inner"/>
          <c:xMode val="edge"/>
          <c:yMode val="edge"/>
          <c:x val="0.11315230975969494"/>
          <c:y val="0.10914107388077772"/>
          <c:w val="0.86694449917978955"/>
          <c:h val="0.63278405166459484"/>
        </c:manualLayout>
      </c:layout>
      <c:barChart>
        <c:barDir val="col"/>
        <c:grouping val="stacked"/>
        <c:varyColors val="0"/>
        <c:ser>
          <c:idx val="1"/>
          <c:order val="0"/>
          <c:tx>
            <c:strRef>
              <c:f>'Summary Tables &amp; Charts'!$E$4</c:f>
              <c:strCache>
                <c:ptCount val="1"/>
                <c:pt idx="0">
                  <c:v>2013</c:v>
                </c:pt>
              </c:strCache>
            </c:strRef>
          </c:tx>
          <c:spPr>
            <a:pattFill prst="pct80">
              <a:fgClr>
                <a:schemeClr val="tx1"/>
              </a:fgClr>
              <a:bgClr>
                <a:schemeClr val="bg1"/>
              </a:bgClr>
            </a:pattFill>
            <a:ln>
              <a:solidFill>
                <a:schemeClr val="tx1"/>
              </a:solidFill>
            </a:ln>
            <a:effectLst/>
          </c:spPr>
          <c:invertIfNegative val="0"/>
          <c:cat>
            <c:strRef>
              <c:f>'Summary Tables &amp; Charts'!$C$5:$C$39</c:f>
              <c:strCache>
                <c:ptCount val="35"/>
                <c:pt idx="0">
                  <c:v>DPWH</c:v>
                </c:pt>
                <c:pt idx="1">
                  <c:v>DOTC</c:v>
                </c:pt>
                <c:pt idx="2">
                  <c:v>DOE</c:v>
                </c:pt>
                <c:pt idx="3">
                  <c:v>DOH</c:v>
                </c:pt>
                <c:pt idx="4">
                  <c:v>DepEd</c:v>
                </c:pt>
                <c:pt idx="5">
                  <c:v>OPAFSAM</c:v>
                </c:pt>
                <c:pt idx="6">
                  <c:v>BCDA</c:v>
                </c:pt>
                <c:pt idx="7">
                  <c:v>HUDCC</c:v>
                </c:pt>
                <c:pt idx="8">
                  <c:v>Inter-Agency/Others</c:v>
                </c:pt>
                <c:pt idx="9">
                  <c:v>DILG</c:v>
                </c:pt>
                <c:pt idx="10">
                  <c:v>DA</c:v>
                </c:pt>
                <c:pt idx="11">
                  <c:v>PRA</c:v>
                </c:pt>
                <c:pt idx="12">
                  <c:v>DOST</c:v>
                </c:pt>
                <c:pt idx="13">
                  <c:v>MMDA</c:v>
                </c:pt>
                <c:pt idx="14">
                  <c:v>DOJ</c:v>
                </c:pt>
                <c:pt idx="15">
                  <c:v>DSWD</c:v>
                </c:pt>
                <c:pt idx="16">
                  <c:v>Other Executive Offices</c:v>
                </c:pt>
                <c:pt idx="17">
                  <c:v>DENR</c:v>
                </c:pt>
                <c:pt idx="18">
                  <c:v>CHED</c:v>
                </c:pt>
                <c:pt idx="19">
                  <c:v>DAR</c:v>
                </c:pt>
                <c:pt idx="20">
                  <c:v>DOF</c:v>
                </c:pt>
                <c:pt idx="21">
                  <c:v>CEZA</c:v>
                </c:pt>
                <c:pt idx="22">
                  <c:v>ARMM</c:v>
                </c:pt>
                <c:pt idx="23">
                  <c:v>AFAB</c:v>
                </c:pt>
                <c:pt idx="24">
                  <c:v>DFA</c:v>
                </c:pt>
                <c:pt idx="25">
                  <c:v>PCOO</c:v>
                </c:pt>
                <c:pt idx="26">
                  <c:v>NEDA</c:v>
                </c:pt>
                <c:pt idx="27">
                  <c:v>PHLPOST</c:v>
                </c:pt>
                <c:pt idx="28">
                  <c:v>ZCSEZA</c:v>
                </c:pt>
                <c:pt idx="29">
                  <c:v>Congress</c:v>
                </c:pt>
                <c:pt idx="30">
                  <c:v>LLDA</c:v>
                </c:pt>
                <c:pt idx="31">
                  <c:v>DOLE</c:v>
                </c:pt>
                <c:pt idx="32">
                  <c:v>NTC</c:v>
                </c:pt>
                <c:pt idx="33">
                  <c:v>PRRC</c:v>
                </c:pt>
                <c:pt idx="34">
                  <c:v>CSC</c:v>
                </c:pt>
              </c:strCache>
            </c:strRef>
          </c:cat>
          <c:val>
            <c:numRef>
              <c:f>'Summary Tables &amp; Charts'!$E$5:$E$39</c:f>
              <c:numCache>
                <c:formatCode>_(* #,##0.00_);_(* \(#,##0.00\);_(* "-"??_);_(@_)</c:formatCode>
                <c:ptCount val="3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numCache>
            </c:numRef>
          </c:val>
        </c:ser>
        <c:ser>
          <c:idx val="2"/>
          <c:order val="1"/>
          <c:tx>
            <c:strRef>
              <c:f>'Summary Tables &amp; Charts'!$F$4</c:f>
              <c:strCache>
                <c:ptCount val="1"/>
                <c:pt idx="0">
                  <c:v>2014</c:v>
                </c:pt>
              </c:strCache>
            </c:strRef>
          </c:tx>
          <c:spPr>
            <a:pattFill prst="dkUpDiag">
              <a:fgClr>
                <a:schemeClr val="tx1"/>
              </a:fgClr>
              <a:bgClr>
                <a:schemeClr val="bg1"/>
              </a:bgClr>
            </a:pattFill>
            <a:ln>
              <a:solidFill>
                <a:schemeClr val="tx1"/>
              </a:solidFill>
            </a:ln>
            <a:effectLst/>
          </c:spPr>
          <c:invertIfNegative val="0"/>
          <c:cat>
            <c:strRef>
              <c:f>'Summary Tables &amp; Charts'!$C$5:$C$39</c:f>
              <c:strCache>
                <c:ptCount val="35"/>
                <c:pt idx="0">
                  <c:v>DPWH</c:v>
                </c:pt>
                <c:pt idx="1">
                  <c:v>DOTC</c:v>
                </c:pt>
                <c:pt idx="2">
                  <c:v>DOE</c:v>
                </c:pt>
                <c:pt idx="3">
                  <c:v>DOH</c:v>
                </c:pt>
                <c:pt idx="4">
                  <c:v>DepEd</c:v>
                </c:pt>
                <c:pt idx="5">
                  <c:v>OPAFSAM</c:v>
                </c:pt>
                <c:pt idx="6">
                  <c:v>BCDA</c:v>
                </c:pt>
                <c:pt idx="7">
                  <c:v>HUDCC</c:v>
                </c:pt>
                <c:pt idx="8">
                  <c:v>Inter-Agency/Others</c:v>
                </c:pt>
                <c:pt idx="9">
                  <c:v>DILG</c:v>
                </c:pt>
                <c:pt idx="10">
                  <c:v>DA</c:v>
                </c:pt>
                <c:pt idx="11">
                  <c:v>PRA</c:v>
                </c:pt>
                <c:pt idx="12">
                  <c:v>DOST</c:v>
                </c:pt>
                <c:pt idx="13">
                  <c:v>MMDA</c:v>
                </c:pt>
                <c:pt idx="14">
                  <c:v>DOJ</c:v>
                </c:pt>
                <c:pt idx="15">
                  <c:v>DSWD</c:v>
                </c:pt>
                <c:pt idx="16">
                  <c:v>Other Executive Offices</c:v>
                </c:pt>
                <c:pt idx="17">
                  <c:v>DENR</c:v>
                </c:pt>
                <c:pt idx="18">
                  <c:v>CHED</c:v>
                </c:pt>
                <c:pt idx="19">
                  <c:v>DAR</c:v>
                </c:pt>
                <c:pt idx="20">
                  <c:v>DOF</c:v>
                </c:pt>
                <c:pt idx="21">
                  <c:v>CEZA</c:v>
                </c:pt>
                <c:pt idx="22">
                  <c:v>ARMM</c:v>
                </c:pt>
                <c:pt idx="23">
                  <c:v>AFAB</c:v>
                </c:pt>
                <c:pt idx="24">
                  <c:v>DFA</c:v>
                </c:pt>
                <c:pt idx="25">
                  <c:v>PCOO</c:v>
                </c:pt>
                <c:pt idx="26">
                  <c:v>NEDA</c:v>
                </c:pt>
                <c:pt idx="27">
                  <c:v>PHLPOST</c:v>
                </c:pt>
                <c:pt idx="28">
                  <c:v>ZCSEZA</c:v>
                </c:pt>
                <c:pt idx="29">
                  <c:v>Congress</c:v>
                </c:pt>
                <c:pt idx="30">
                  <c:v>LLDA</c:v>
                </c:pt>
                <c:pt idx="31">
                  <c:v>DOLE</c:v>
                </c:pt>
                <c:pt idx="32">
                  <c:v>NTC</c:v>
                </c:pt>
                <c:pt idx="33">
                  <c:v>PRRC</c:v>
                </c:pt>
                <c:pt idx="34">
                  <c:v>CSC</c:v>
                </c:pt>
              </c:strCache>
            </c:strRef>
          </c:cat>
          <c:val>
            <c:numRef>
              <c:f>'Summary Tables &amp; Charts'!$F$5:$F$39</c:f>
              <c:numCache>
                <c:formatCode>_(* #,##0.00_);_(* \(#,##0.00\);_(* "-"??_);_(@_)</c:formatCode>
                <c:ptCount val="3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numCache>
            </c:numRef>
          </c:val>
        </c:ser>
        <c:ser>
          <c:idx val="3"/>
          <c:order val="2"/>
          <c:tx>
            <c:strRef>
              <c:f>'Summary Tables &amp; Charts'!$G$4</c:f>
              <c:strCache>
                <c:ptCount val="1"/>
                <c:pt idx="0">
                  <c:v>2015</c:v>
                </c:pt>
              </c:strCache>
            </c:strRef>
          </c:tx>
          <c:spPr>
            <a:solidFill>
              <a:schemeClr val="bg1">
                <a:lumMod val="65000"/>
              </a:schemeClr>
            </a:solidFill>
            <a:ln>
              <a:solidFill>
                <a:schemeClr val="tx1"/>
              </a:solidFill>
            </a:ln>
            <a:effectLst/>
          </c:spPr>
          <c:invertIfNegative val="0"/>
          <c:cat>
            <c:strRef>
              <c:f>'Summary Tables &amp; Charts'!$C$5:$C$39</c:f>
              <c:strCache>
                <c:ptCount val="35"/>
                <c:pt idx="0">
                  <c:v>DPWH</c:v>
                </c:pt>
                <c:pt idx="1">
                  <c:v>DOTC</c:v>
                </c:pt>
                <c:pt idx="2">
                  <c:v>DOE</c:v>
                </c:pt>
                <c:pt idx="3">
                  <c:v>DOH</c:v>
                </c:pt>
                <c:pt idx="4">
                  <c:v>DepEd</c:v>
                </c:pt>
                <c:pt idx="5">
                  <c:v>OPAFSAM</c:v>
                </c:pt>
                <c:pt idx="6">
                  <c:v>BCDA</c:v>
                </c:pt>
                <c:pt idx="7">
                  <c:v>HUDCC</c:v>
                </c:pt>
                <c:pt idx="8">
                  <c:v>Inter-Agency/Others</c:v>
                </c:pt>
                <c:pt idx="9">
                  <c:v>DILG</c:v>
                </c:pt>
                <c:pt idx="10">
                  <c:v>DA</c:v>
                </c:pt>
                <c:pt idx="11">
                  <c:v>PRA</c:v>
                </c:pt>
                <c:pt idx="12">
                  <c:v>DOST</c:v>
                </c:pt>
                <c:pt idx="13">
                  <c:v>MMDA</c:v>
                </c:pt>
                <c:pt idx="14">
                  <c:v>DOJ</c:v>
                </c:pt>
                <c:pt idx="15">
                  <c:v>DSWD</c:v>
                </c:pt>
                <c:pt idx="16">
                  <c:v>Other Executive Offices</c:v>
                </c:pt>
                <c:pt idx="17">
                  <c:v>DENR</c:v>
                </c:pt>
                <c:pt idx="18">
                  <c:v>CHED</c:v>
                </c:pt>
                <c:pt idx="19">
                  <c:v>DAR</c:v>
                </c:pt>
                <c:pt idx="20">
                  <c:v>DOF</c:v>
                </c:pt>
                <c:pt idx="21">
                  <c:v>CEZA</c:v>
                </c:pt>
                <c:pt idx="22">
                  <c:v>ARMM</c:v>
                </c:pt>
                <c:pt idx="23">
                  <c:v>AFAB</c:v>
                </c:pt>
                <c:pt idx="24">
                  <c:v>DFA</c:v>
                </c:pt>
                <c:pt idx="25">
                  <c:v>PCOO</c:v>
                </c:pt>
                <c:pt idx="26">
                  <c:v>NEDA</c:v>
                </c:pt>
                <c:pt idx="27">
                  <c:v>PHLPOST</c:v>
                </c:pt>
                <c:pt idx="28">
                  <c:v>ZCSEZA</c:v>
                </c:pt>
                <c:pt idx="29">
                  <c:v>Congress</c:v>
                </c:pt>
                <c:pt idx="30">
                  <c:v>LLDA</c:v>
                </c:pt>
                <c:pt idx="31">
                  <c:v>DOLE</c:v>
                </c:pt>
                <c:pt idx="32">
                  <c:v>NTC</c:v>
                </c:pt>
                <c:pt idx="33">
                  <c:v>PRRC</c:v>
                </c:pt>
                <c:pt idx="34">
                  <c:v>CSC</c:v>
                </c:pt>
              </c:strCache>
            </c:strRef>
          </c:cat>
          <c:val>
            <c:numRef>
              <c:f>'Summary Tables &amp; Charts'!$G$5:$G$39</c:f>
              <c:numCache>
                <c:formatCode>_(* #,##0.00_);_(* \(#,##0.00\);_(* "-"??_);_(@_)</c:formatCode>
                <c:ptCount val="3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numCache>
            </c:numRef>
          </c:val>
        </c:ser>
        <c:ser>
          <c:idx val="4"/>
          <c:order val="3"/>
          <c:tx>
            <c:strRef>
              <c:f>'Summary Tables &amp; Charts'!$H$4</c:f>
              <c:strCache>
                <c:ptCount val="1"/>
                <c:pt idx="0">
                  <c:v>2016</c:v>
                </c:pt>
              </c:strCache>
            </c:strRef>
          </c:tx>
          <c:spPr>
            <a:solidFill>
              <a:schemeClr val="bg1"/>
            </a:solidFill>
            <a:ln>
              <a:solidFill>
                <a:schemeClr val="tx1"/>
              </a:solidFill>
            </a:ln>
            <a:effectLst/>
          </c:spPr>
          <c:invertIfNegative val="0"/>
          <c:cat>
            <c:strRef>
              <c:f>'Summary Tables &amp; Charts'!$C$5:$C$39</c:f>
              <c:strCache>
                <c:ptCount val="35"/>
                <c:pt idx="0">
                  <c:v>DPWH</c:v>
                </c:pt>
                <c:pt idx="1">
                  <c:v>DOTC</c:v>
                </c:pt>
                <c:pt idx="2">
                  <c:v>DOE</c:v>
                </c:pt>
                <c:pt idx="3">
                  <c:v>DOH</c:v>
                </c:pt>
                <c:pt idx="4">
                  <c:v>DepEd</c:v>
                </c:pt>
                <c:pt idx="5">
                  <c:v>OPAFSAM</c:v>
                </c:pt>
                <c:pt idx="6">
                  <c:v>BCDA</c:v>
                </c:pt>
                <c:pt idx="7">
                  <c:v>HUDCC</c:v>
                </c:pt>
                <c:pt idx="8">
                  <c:v>Inter-Agency/Others</c:v>
                </c:pt>
                <c:pt idx="9">
                  <c:v>DILG</c:v>
                </c:pt>
                <c:pt idx="10">
                  <c:v>DA</c:v>
                </c:pt>
                <c:pt idx="11">
                  <c:v>PRA</c:v>
                </c:pt>
                <c:pt idx="12">
                  <c:v>DOST</c:v>
                </c:pt>
                <c:pt idx="13">
                  <c:v>MMDA</c:v>
                </c:pt>
                <c:pt idx="14">
                  <c:v>DOJ</c:v>
                </c:pt>
                <c:pt idx="15">
                  <c:v>DSWD</c:v>
                </c:pt>
                <c:pt idx="16">
                  <c:v>Other Executive Offices</c:v>
                </c:pt>
                <c:pt idx="17">
                  <c:v>DENR</c:v>
                </c:pt>
                <c:pt idx="18">
                  <c:v>CHED</c:v>
                </c:pt>
                <c:pt idx="19">
                  <c:v>DAR</c:v>
                </c:pt>
                <c:pt idx="20">
                  <c:v>DOF</c:v>
                </c:pt>
                <c:pt idx="21">
                  <c:v>CEZA</c:v>
                </c:pt>
                <c:pt idx="22">
                  <c:v>ARMM</c:v>
                </c:pt>
                <c:pt idx="23">
                  <c:v>AFAB</c:v>
                </c:pt>
                <c:pt idx="24">
                  <c:v>DFA</c:v>
                </c:pt>
                <c:pt idx="25">
                  <c:v>PCOO</c:v>
                </c:pt>
                <c:pt idx="26">
                  <c:v>NEDA</c:v>
                </c:pt>
                <c:pt idx="27">
                  <c:v>PHLPOST</c:v>
                </c:pt>
                <c:pt idx="28">
                  <c:v>ZCSEZA</c:v>
                </c:pt>
                <c:pt idx="29">
                  <c:v>Congress</c:v>
                </c:pt>
                <c:pt idx="30">
                  <c:v>LLDA</c:v>
                </c:pt>
                <c:pt idx="31">
                  <c:v>DOLE</c:v>
                </c:pt>
                <c:pt idx="32">
                  <c:v>NTC</c:v>
                </c:pt>
                <c:pt idx="33">
                  <c:v>PRRC</c:v>
                </c:pt>
                <c:pt idx="34">
                  <c:v>CSC</c:v>
                </c:pt>
              </c:strCache>
            </c:strRef>
          </c:cat>
          <c:val>
            <c:numRef>
              <c:f>'Summary Tables &amp; Charts'!$H$5:$H$39</c:f>
              <c:numCache>
                <c:formatCode>_(* #,##0.00_);_(* \(#,##0.00\);_(* "-"??_);_(@_)</c:formatCode>
                <c:ptCount val="3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numCache>
            </c:numRef>
          </c:val>
        </c:ser>
        <c:ser>
          <c:idx val="5"/>
          <c:order val="4"/>
          <c:tx>
            <c:strRef>
              <c:f>'Summary Tables &amp; Charts'!$I$4</c:f>
              <c:strCache>
                <c:ptCount val="1"/>
                <c:pt idx="0">
                  <c:v>2017-Beyond</c:v>
                </c:pt>
              </c:strCache>
            </c:strRef>
          </c:tx>
          <c:spPr>
            <a:solidFill>
              <a:schemeClr val="tx1"/>
            </a:solidFill>
            <a:ln>
              <a:solidFill>
                <a:schemeClr val="tx1"/>
              </a:solidFill>
            </a:ln>
            <a:effectLst/>
          </c:spPr>
          <c:invertIfNegative val="0"/>
          <c:cat>
            <c:strRef>
              <c:f>'Summary Tables &amp; Charts'!$C$5:$C$39</c:f>
              <c:strCache>
                <c:ptCount val="35"/>
                <c:pt idx="0">
                  <c:v>DPWH</c:v>
                </c:pt>
                <c:pt idx="1">
                  <c:v>DOTC</c:v>
                </c:pt>
                <c:pt idx="2">
                  <c:v>DOE</c:v>
                </c:pt>
                <c:pt idx="3">
                  <c:v>DOH</c:v>
                </c:pt>
                <c:pt idx="4">
                  <c:v>DepEd</c:v>
                </c:pt>
                <c:pt idx="5">
                  <c:v>OPAFSAM</c:v>
                </c:pt>
                <c:pt idx="6">
                  <c:v>BCDA</c:v>
                </c:pt>
                <c:pt idx="7">
                  <c:v>HUDCC</c:v>
                </c:pt>
                <c:pt idx="8">
                  <c:v>Inter-Agency/Others</c:v>
                </c:pt>
                <c:pt idx="9">
                  <c:v>DILG</c:v>
                </c:pt>
                <c:pt idx="10">
                  <c:v>DA</c:v>
                </c:pt>
                <c:pt idx="11">
                  <c:v>PRA</c:v>
                </c:pt>
                <c:pt idx="12">
                  <c:v>DOST</c:v>
                </c:pt>
                <c:pt idx="13">
                  <c:v>MMDA</c:v>
                </c:pt>
                <c:pt idx="14">
                  <c:v>DOJ</c:v>
                </c:pt>
                <c:pt idx="15">
                  <c:v>DSWD</c:v>
                </c:pt>
                <c:pt idx="16">
                  <c:v>Other Executive Offices</c:v>
                </c:pt>
                <c:pt idx="17">
                  <c:v>DENR</c:v>
                </c:pt>
                <c:pt idx="18">
                  <c:v>CHED</c:v>
                </c:pt>
                <c:pt idx="19">
                  <c:v>DAR</c:v>
                </c:pt>
                <c:pt idx="20">
                  <c:v>DOF</c:v>
                </c:pt>
                <c:pt idx="21">
                  <c:v>CEZA</c:v>
                </c:pt>
                <c:pt idx="22">
                  <c:v>ARMM</c:v>
                </c:pt>
                <c:pt idx="23">
                  <c:v>AFAB</c:v>
                </c:pt>
                <c:pt idx="24">
                  <c:v>DFA</c:v>
                </c:pt>
                <c:pt idx="25">
                  <c:v>PCOO</c:v>
                </c:pt>
                <c:pt idx="26">
                  <c:v>NEDA</c:v>
                </c:pt>
                <c:pt idx="27">
                  <c:v>PHLPOST</c:v>
                </c:pt>
                <c:pt idx="28">
                  <c:v>ZCSEZA</c:v>
                </c:pt>
                <c:pt idx="29">
                  <c:v>Congress</c:v>
                </c:pt>
                <c:pt idx="30">
                  <c:v>LLDA</c:v>
                </c:pt>
                <c:pt idx="31">
                  <c:v>DOLE</c:v>
                </c:pt>
                <c:pt idx="32">
                  <c:v>NTC</c:v>
                </c:pt>
                <c:pt idx="33">
                  <c:v>PRRC</c:v>
                </c:pt>
                <c:pt idx="34">
                  <c:v>CSC</c:v>
                </c:pt>
              </c:strCache>
            </c:strRef>
          </c:cat>
          <c:val>
            <c:numRef>
              <c:f>'Summary Tables &amp; Charts'!$I$5:$I$39</c:f>
              <c:numCache>
                <c:formatCode>_(* #,##0.00_);_(* \(#,##0.00\);_(* "-"??_);_(@_)</c:formatCode>
                <c:ptCount val="3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numCache>
            </c:numRef>
          </c:val>
        </c:ser>
        <c:ser>
          <c:idx val="6"/>
          <c:order val="5"/>
          <c:tx>
            <c:strRef>
              <c:f>'Summary Tables &amp; Charts'!$J$4</c:f>
              <c:strCache>
                <c:ptCount val="1"/>
                <c:pt idx="0">
                  <c:v>No Annual Breakdown</c:v>
                </c:pt>
              </c:strCache>
            </c:strRef>
          </c:tx>
          <c:spPr>
            <a:pattFill prst="narVert">
              <a:fgClr>
                <a:schemeClr val="tx1"/>
              </a:fgClr>
              <a:bgClr>
                <a:schemeClr val="bg1"/>
              </a:bgClr>
            </a:pattFill>
            <a:ln>
              <a:solidFill>
                <a:schemeClr val="tx1"/>
              </a:solidFill>
            </a:ln>
            <a:effectLst/>
          </c:spPr>
          <c:invertIfNegative val="0"/>
          <c:cat>
            <c:strRef>
              <c:f>'Summary Tables &amp; Charts'!$C$5:$C$39</c:f>
              <c:strCache>
                <c:ptCount val="35"/>
                <c:pt idx="0">
                  <c:v>DPWH</c:v>
                </c:pt>
                <c:pt idx="1">
                  <c:v>DOTC</c:v>
                </c:pt>
                <c:pt idx="2">
                  <c:v>DOE</c:v>
                </c:pt>
                <c:pt idx="3">
                  <c:v>DOH</c:v>
                </c:pt>
                <c:pt idx="4">
                  <c:v>DepEd</c:v>
                </c:pt>
                <c:pt idx="5">
                  <c:v>OPAFSAM</c:v>
                </c:pt>
                <c:pt idx="6">
                  <c:v>BCDA</c:v>
                </c:pt>
                <c:pt idx="7">
                  <c:v>HUDCC</c:v>
                </c:pt>
                <c:pt idx="8">
                  <c:v>Inter-Agency/Others</c:v>
                </c:pt>
                <c:pt idx="9">
                  <c:v>DILG</c:v>
                </c:pt>
                <c:pt idx="10">
                  <c:v>DA</c:v>
                </c:pt>
                <c:pt idx="11">
                  <c:v>PRA</c:v>
                </c:pt>
                <c:pt idx="12">
                  <c:v>DOST</c:v>
                </c:pt>
                <c:pt idx="13">
                  <c:v>MMDA</c:v>
                </c:pt>
                <c:pt idx="14">
                  <c:v>DOJ</c:v>
                </c:pt>
                <c:pt idx="15">
                  <c:v>DSWD</c:v>
                </c:pt>
                <c:pt idx="16">
                  <c:v>Other Executive Offices</c:v>
                </c:pt>
                <c:pt idx="17">
                  <c:v>DENR</c:v>
                </c:pt>
                <c:pt idx="18">
                  <c:v>CHED</c:v>
                </c:pt>
                <c:pt idx="19">
                  <c:v>DAR</c:v>
                </c:pt>
                <c:pt idx="20">
                  <c:v>DOF</c:v>
                </c:pt>
                <c:pt idx="21">
                  <c:v>CEZA</c:v>
                </c:pt>
                <c:pt idx="22">
                  <c:v>ARMM</c:v>
                </c:pt>
                <c:pt idx="23">
                  <c:v>AFAB</c:v>
                </c:pt>
                <c:pt idx="24">
                  <c:v>DFA</c:v>
                </c:pt>
                <c:pt idx="25">
                  <c:v>PCOO</c:v>
                </c:pt>
                <c:pt idx="26">
                  <c:v>NEDA</c:v>
                </c:pt>
                <c:pt idx="27">
                  <c:v>PHLPOST</c:v>
                </c:pt>
                <c:pt idx="28">
                  <c:v>ZCSEZA</c:v>
                </c:pt>
                <c:pt idx="29">
                  <c:v>Congress</c:v>
                </c:pt>
                <c:pt idx="30">
                  <c:v>LLDA</c:v>
                </c:pt>
                <c:pt idx="31">
                  <c:v>DOLE</c:v>
                </c:pt>
                <c:pt idx="32">
                  <c:v>NTC</c:v>
                </c:pt>
                <c:pt idx="33">
                  <c:v>PRRC</c:v>
                </c:pt>
                <c:pt idx="34">
                  <c:v>CSC</c:v>
                </c:pt>
              </c:strCache>
            </c:strRef>
          </c:cat>
          <c:val>
            <c:numRef>
              <c:f>'Summary Tables &amp; Charts'!$J$5:$J$39</c:f>
              <c:numCache>
                <c:formatCode>_(* #,##0.00_);_(* \(#,##0.00\);_(* "-"??_);_(@_)</c:formatCode>
                <c:ptCount val="3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numCache>
            </c:numRef>
          </c:val>
        </c:ser>
        <c:dLbls>
          <c:showLegendKey val="0"/>
          <c:showVal val="0"/>
          <c:showCatName val="0"/>
          <c:showSerName val="0"/>
          <c:showPercent val="0"/>
          <c:showBubbleSize val="0"/>
        </c:dLbls>
        <c:gapWidth val="150"/>
        <c:overlap val="100"/>
        <c:axId val="307907488"/>
        <c:axId val="307910232"/>
      </c:barChart>
      <c:catAx>
        <c:axId val="30790748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lang="en-US" sz="1200" b="0" i="0" u="none" strike="noStrike" kern="1200" baseline="0">
                <a:solidFill>
                  <a:schemeClr val="tx1">
                    <a:lumMod val="65000"/>
                    <a:lumOff val="35000"/>
                  </a:schemeClr>
                </a:solidFill>
                <a:latin typeface="+mn-lt"/>
                <a:ea typeface="+mn-ea"/>
                <a:cs typeface="+mn-cs"/>
              </a:defRPr>
            </a:pPr>
            <a:endParaRPr lang="en-US"/>
          </a:p>
        </c:txPr>
        <c:crossAx val="307910232"/>
        <c:crosses val="autoZero"/>
        <c:auto val="1"/>
        <c:lblAlgn val="ctr"/>
        <c:lblOffset val="100"/>
        <c:noMultiLvlLbl val="0"/>
      </c:catAx>
      <c:valAx>
        <c:axId val="307910232"/>
        <c:scaling>
          <c:orientation val="minMax"/>
        </c:scaling>
        <c:delete val="0"/>
        <c:axPos val="l"/>
        <c:majorGridlines>
          <c:spPr>
            <a:ln w="9525" cap="flat" cmpd="sng" algn="ctr">
              <a:solidFill>
                <a:schemeClr val="tx1">
                  <a:lumMod val="15000"/>
                  <a:lumOff val="85000"/>
                </a:schemeClr>
              </a:solidFill>
              <a:round/>
            </a:ln>
            <a:effectLst/>
          </c:spPr>
        </c:majorGridlines>
        <c:numFmt formatCode="_(* #,##0.00_);_(* \(#,##0.00\);_(* &quot;-&quot;??_);_(@_)" sourceLinked="1"/>
        <c:majorTickMark val="none"/>
        <c:minorTickMark val="none"/>
        <c:tickLblPos val="nextTo"/>
        <c:spPr>
          <a:ln w="6350">
            <a:noFill/>
          </a:ln>
        </c:spPr>
        <c:txPr>
          <a:bodyPr rot="-60000000" spcFirstLastPara="1" vertOverflow="ellipsis" vert="horz" wrap="square" anchor="ctr" anchorCtr="1"/>
          <a:lstStyle/>
          <a:p>
            <a:pPr>
              <a:defRPr lang="en-US" sz="1200" b="0" i="0" u="none" strike="noStrike" kern="1200" baseline="0">
                <a:solidFill>
                  <a:schemeClr val="tx1">
                    <a:lumMod val="65000"/>
                    <a:lumOff val="35000"/>
                  </a:schemeClr>
                </a:solidFill>
                <a:latin typeface="+mn-lt"/>
                <a:ea typeface="+mn-ea"/>
                <a:cs typeface="+mn-cs"/>
              </a:defRPr>
            </a:pPr>
            <a:endParaRPr lang="en-US"/>
          </a:p>
        </c:txPr>
        <c:crossAx val="307907488"/>
        <c:crosses val="autoZero"/>
        <c:crossBetween val="between"/>
      </c:valAx>
      <c:spPr>
        <a:noFill/>
        <a:ln w="25400">
          <a:noFill/>
        </a:ln>
      </c:spPr>
    </c:plotArea>
    <c:legend>
      <c:legendPos val="b"/>
      <c:layout>
        <c:manualLayout>
          <c:xMode val="edge"/>
          <c:yMode val="edge"/>
          <c:x val="0.28517533352026658"/>
          <c:y val="0.13315587885155658"/>
          <c:w val="0.42587620695843215"/>
          <c:h val="9.853535035015186E-2"/>
        </c:manualLayout>
      </c:layout>
      <c:overlay val="0"/>
      <c:spPr>
        <a:solidFill>
          <a:schemeClr val="bg1">
            <a:lumMod val="95000"/>
          </a:schemeClr>
        </a:solidFill>
        <a:ln>
          <a:solidFill>
            <a:schemeClr val="tx1"/>
          </a:solidFill>
        </a:ln>
        <a:effectLst/>
      </c:spPr>
      <c:txPr>
        <a:bodyPr rot="0" spcFirstLastPara="1" vertOverflow="ellipsis" vert="horz" wrap="square" anchor="ctr" anchorCtr="1"/>
        <a:lstStyle/>
        <a:p>
          <a:pPr>
            <a:defRPr lang="en-US"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pPr>
      <a:endParaRPr lang="en-US"/>
    </a:p>
  </c:txPr>
  <c:printSettings>
    <c:headerFooter/>
    <c:pageMargins b="0.75000000000000022" l="0.70000000000000018" r="0.70000000000000018" t="0.75000000000000022" header="0.3000000000000001" footer="0.3000000000000001"/>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t" anchorCtr="1"/>
          <a:lstStyle/>
          <a:p>
            <a:pPr algn="l">
              <a:defRPr lang="en-US" sz="1800" b="1" i="0" u="none" strike="noStrike" kern="1200" baseline="0">
                <a:solidFill>
                  <a:sysClr val="windowText" lastClr="000000"/>
                </a:solidFill>
                <a:latin typeface="+mn-lt"/>
                <a:ea typeface="+mn-ea"/>
                <a:cs typeface="+mn-cs"/>
              </a:defRPr>
            </a:pPr>
            <a:r>
              <a:rPr lang="en-US" sz="1100" b="0" i="1" u="none" baseline="0">
                <a:solidFill>
                  <a:sysClr val="windowText" lastClr="000000"/>
                </a:solidFill>
                <a:effectLst/>
              </a:rPr>
              <a:t>Total Infrastructure Investment of PhP7.27 trillion; </a:t>
            </a:r>
          </a:p>
          <a:p>
            <a:pPr algn="l">
              <a:defRPr lang="en-US" sz="1800" b="1" i="0" u="none" strike="noStrike" kern="1200" baseline="0">
                <a:solidFill>
                  <a:sysClr val="windowText" lastClr="000000"/>
                </a:solidFill>
                <a:latin typeface="+mn-lt"/>
                <a:ea typeface="+mn-ea"/>
                <a:cs typeface="+mn-cs"/>
              </a:defRPr>
            </a:pPr>
            <a:r>
              <a:rPr lang="en-US" sz="1100" b="0" i="1" u="none" strike="noStrike" baseline="0">
                <a:solidFill>
                  <a:sysClr val="windowText" lastClr="000000"/>
                </a:solidFill>
                <a:effectLst/>
              </a:rPr>
              <a:t>Years: 2013-2016 and Beyond</a:t>
            </a:r>
            <a:endParaRPr lang="en-US" sz="1100" i="1" u="none">
              <a:solidFill>
                <a:sysClr val="windowText" lastClr="000000"/>
              </a:solidFill>
              <a:effectLst/>
            </a:endParaRPr>
          </a:p>
        </c:rich>
      </c:tx>
      <c:layout>
        <c:manualLayout>
          <c:xMode val="edge"/>
          <c:yMode val="edge"/>
          <c:x val="2.8346297862540254E-2"/>
          <c:y val="2.6456317289498023E-2"/>
        </c:manualLayout>
      </c:layout>
      <c:overlay val="0"/>
      <c:spPr>
        <a:noFill/>
        <a:ln w="25400">
          <a:noFill/>
        </a:ln>
      </c:spPr>
    </c:title>
    <c:autoTitleDeleted val="0"/>
    <c:plotArea>
      <c:layout>
        <c:manualLayout>
          <c:layoutTarget val="inner"/>
          <c:xMode val="edge"/>
          <c:yMode val="edge"/>
          <c:x val="9.9362719998471002E-2"/>
          <c:y val="9.1357015684874476E-2"/>
          <c:w val="0.59307114829083007"/>
          <c:h val="0.74414829363991153"/>
        </c:manualLayout>
      </c:layout>
      <c:pieChart>
        <c:varyColors val="1"/>
        <c:ser>
          <c:idx val="0"/>
          <c:order val="0"/>
          <c:tx>
            <c:strRef>
              <c:f>'Summary Tables &amp; Charts'!$K$209</c:f>
              <c:strCache>
                <c:ptCount val="1"/>
                <c:pt idx="0">
                  <c:v>Graph Labels</c:v>
                </c:pt>
              </c:strCache>
            </c:strRef>
          </c:tx>
          <c:spPr>
            <a:ln>
              <a:solidFill>
                <a:schemeClr val="tx1"/>
              </a:solidFill>
            </a:ln>
            <a:effectLst>
              <a:outerShdw blurRad="50800" dist="38100" dir="10800000" algn="r" rotWithShape="0">
                <a:prstClr val="black">
                  <a:alpha val="40000"/>
                </a:prstClr>
              </a:outerShdw>
            </a:effectLst>
          </c:spPr>
          <c:dPt>
            <c:idx val="0"/>
            <c:bubble3D val="0"/>
            <c:spPr>
              <a:pattFill prst="pct40">
                <a:fgClr>
                  <a:schemeClr val="tx1"/>
                </a:fgClr>
                <a:bgClr>
                  <a:schemeClr val="bg1"/>
                </a:bgClr>
              </a:pattFill>
              <a:ln>
                <a:solidFill>
                  <a:schemeClr val="tx1"/>
                </a:solidFill>
              </a:ln>
              <a:effectLst>
                <a:outerShdw blurRad="50800" dist="38100" dir="10800000" algn="r" rotWithShape="0">
                  <a:prstClr val="black">
                    <a:alpha val="40000"/>
                  </a:prstClr>
                </a:outerShdw>
              </a:effectLst>
            </c:spPr>
          </c:dPt>
          <c:dPt>
            <c:idx val="1"/>
            <c:bubble3D val="0"/>
            <c:spPr>
              <a:pattFill prst="ltDnDiag">
                <a:fgClr>
                  <a:schemeClr val="tx1"/>
                </a:fgClr>
                <a:bgClr>
                  <a:schemeClr val="bg1"/>
                </a:bgClr>
              </a:pattFill>
              <a:ln>
                <a:solidFill>
                  <a:schemeClr val="tx1"/>
                </a:solidFill>
              </a:ln>
              <a:effectLst>
                <a:outerShdw blurRad="50800" dist="38100" dir="10800000" algn="r" rotWithShape="0">
                  <a:prstClr val="black">
                    <a:alpha val="40000"/>
                  </a:prstClr>
                </a:outerShdw>
              </a:effectLst>
            </c:spPr>
          </c:dPt>
          <c:dPt>
            <c:idx val="2"/>
            <c:bubble3D val="0"/>
            <c:spPr>
              <a:pattFill prst="ltHorz">
                <a:fgClr>
                  <a:schemeClr val="tx1"/>
                </a:fgClr>
                <a:bgClr>
                  <a:schemeClr val="bg1"/>
                </a:bgClr>
              </a:pattFill>
              <a:ln>
                <a:solidFill>
                  <a:schemeClr val="tx1"/>
                </a:solidFill>
              </a:ln>
              <a:effectLst>
                <a:outerShdw blurRad="50800" dist="38100" dir="10800000" algn="r" rotWithShape="0">
                  <a:prstClr val="black">
                    <a:alpha val="40000"/>
                  </a:prstClr>
                </a:outerShdw>
              </a:effectLst>
            </c:spPr>
          </c:dPt>
          <c:dPt>
            <c:idx val="3"/>
            <c:bubble3D val="0"/>
            <c:spPr>
              <a:solidFill>
                <a:schemeClr val="bg1">
                  <a:lumMod val="65000"/>
                </a:schemeClr>
              </a:solidFill>
              <a:ln>
                <a:solidFill>
                  <a:schemeClr val="tx1"/>
                </a:solidFill>
              </a:ln>
              <a:effectLst>
                <a:outerShdw blurRad="50800" dist="38100" dir="10800000" algn="r" rotWithShape="0">
                  <a:prstClr val="black">
                    <a:alpha val="40000"/>
                  </a:prstClr>
                </a:outerShdw>
              </a:effectLst>
            </c:spPr>
          </c:dPt>
          <c:dPt>
            <c:idx val="4"/>
            <c:bubble3D val="0"/>
            <c:spPr>
              <a:solidFill>
                <a:schemeClr val="tx1"/>
              </a:solidFill>
              <a:ln>
                <a:solidFill>
                  <a:schemeClr val="tx1"/>
                </a:solidFill>
              </a:ln>
              <a:effectLst>
                <a:outerShdw blurRad="50800" dist="38100" dir="10800000" algn="r" rotWithShape="0">
                  <a:prstClr val="black">
                    <a:alpha val="40000"/>
                  </a:prstClr>
                </a:outerShdw>
              </a:effectLst>
            </c:spPr>
          </c:dPt>
          <c:dPt>
            <c:idx val="5"/>
            <c:bubble3D val="0"/>
            <c:spPr>
              <a:solidFill>
                <a:schemeClr val="bg1"/>
              </a:solidFill>
              <a:ln>
                <a:solidFill>
                  <a:schemeClr val="tx1"/>
                </a:solidFill>
              </a:ln>
              <a:effectLst/>
            </c:spPr>
          </c:dPt>
          <c:dLbls>
            <c:dLbl>
              <c:idx val="0"/>
              <c:layout>
                <c:manualLayout>
                  <c:x val="0.10374719901058682"/>
                  <c:y val="-3.6179142764422877E-2"/>
                </c:manualLayout>
              </c:layout>
              <c:tx>
                <c:rich>
                  <a:bodyPr rot="0" spcFirstLastPara="1" vertOverflow="ellipsis" vert="horz" wrap="square" lIns="38100" tIns="19050" rIns="38100" bIns="19050" anchor="ctr" anchorCtr="1">
                    <a:noAutofit/>
                  </a:bodyPr>
                  <a:lstStyle/>
                  <a:p>
                    <a:pPr>
                      <a:defRPr lang="en-US" sz="1000" b="1" i="0" u="none" strike="noStrike" kern="1200" baseline="0">
                        <a:solidFill>
                          <a:schemeClr val="lt1"/>
                        </a:solidFill>
                        <a:latin typeface="+mn-lt"/>
                        <a:ea typeface="+mn-ea"/>
                        <a:cs typeface="+mn-cs"/>
                      </a:defRPr>
                    </a:pPr>
                    <a:fld id="{A2991A23-346F-4BFA-9C2E-9A5F5B67F7B4}" type="CELLRANGE">
                      <a:rPr lang="en-US" baseline="0"/>
                      <a:pPr>
                        <a:defRPr lang="en-US" sz="1000" b="1" i="0" u="none" strike="noStrike" kern="1200" baseline="0">
                          <a:solidFill>
                            <a:schemeClr val="lt1"/>
                          </a:solidFill>
                          <a:latin typeface="+mn-lt"/>
                          <a:ea typeface="+mn-ea"/>
                          <a:cs typeface="+mn-cs"/>
                        </a:defRPr>
                      </a:pPr>
                      <a:t>[CELLRANGE]</a:t>
                    </a:fld>
                    <a:r>
                      <a:rPr lang="en-US" baseline="0"/>
                      <a:t>[C</a:t>
                    </a:r>
                    <a:fld id="{4371B885-6744-414C-A04F-7E0F7CDAA8D0}" type="PERCENTAGE">
                      <a:rPr lang="en-US" baseline="0"/>
                      <a:pPr>
                        <a:defRPr lang="en-US" sz="1000" b="1" i="0" u="none" strike="noStrike" kern="1200" baseline="0">
                          <a:solidFill>
                            <a:schemeClr val="lt1"/>
                          </a:solidFill>
                          <a:latin typeface="+mn-lt"/>
                          <a:ea typeface="+mn-ea"/>
                          <a:cs typeface="+mn-cs"/>
                        </a:defRPr>
                      </a:pPr>
                      <a:t>[PERCENTAGE]</a:t>
                    </a:fld>
                    <a:endParaRPr lang="en-US" baseline="0"/>
                  </a:p>
                </c:rich>
              </c:tx>
              <c:numFmt formatCode="0.00%" sourceLinked="0"/>
              <c:spPr>
                <a:pattFill prst="pct75">
                  <a:fgClr>
                    <a:sysClr val="windowText" lastClr="000000">
                      <a:lumMod val="75000"/>
                      <a:lumOff val="25000"/>
                    </a:sysClr>
                  </a:fgClr>
                  <a:bgClr>
                    <a:sysClr val="windowText" lastClr="000000">
                      <a:lumMod val="65000"/>
                      <a:lumOff val="35000"/>
                    </a:sysClr>
                  </a:bgClr>
                </a:pattFill>
                <a:ln>
                  <a:noFill/>
                </a:ln>
                <a:effectLst>
                  <a:outerShdw blurRad="50800" dist="38100" dir="2700000" algn="tl" rotWithShape="0">
                    <a:prstClr val="black">
                      <a:alpha val="40000"/>
                    </a:prstClr>
                  </a:outerShdw>
                </a:effectLst>
              </c:spPr>
              <c:dLblPos val="bestFit"/>
              <c:showLegendKey val="0"/>
              <c:showVal val="0"/>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showDataLabelsRange val="0"/>
                </c:ext>
              </c:extLst>
            </c:dLbl>
            <c:dLbl>
              <c:idx val="1"/>
              <c:layout>
                <c:manualLayout>
                  <c:x val="8.7078287133898452E-2"/>
                  <c:y val="2.5911508546015097E-2"/>
                </c:manualLayout>
              </c:layout>
              <c:tx>
                <c:rich>
                  <a:bodyPr rot="0" spcFirstLastPara="1" vertOverflow="ellipsis" vert="horz" wrap="square" lIns="38100" tIns="19050" rIns="38100" bIns="19050" anchor="ctr" anchorCtr="1">
                    <a:noAutofit/>
                  </a:bodyPr>
                  <a:lstStyle/>
                  <a:p>
                    <a:pPr>
                      <a:defRPr lang="en-US" sz="1000" b="1" i="0" u="none" strike="noStrike" kern="1200" baseline="0">
                        <a:solidFill>
                          <a:schemeClr val="lt1"/>
                        </a:solidFill>
                        <a:latin typeface="+mn-lt"/>
                        <a:ea typeface="+mn-ea"/>
                        <a:cs typeface="+mn-cs"/>
                      </a:defRPr>
                    </a:pPr>
                    <a:fld id="{DEF0925A-6A5E-47DC-926F-B0F530804A43}" type="CELLRANGE">
                      <a:rPr lang="en-US" baseline="0"/>
                      <a:pPr>
                        <a:defRPr lang="en-US" sz="1000" b="1" i="0" u="none" strike="noStrike" kern="1200" baseline="0">
                          <a:solidFill>
                            <a:schemeClr val="lt1"/>
                          </a:solidFill>
                          <a:latin typeface="+mn-lt"/>
                          <a:ea typeface="+mn-ea"/>
                          <a:cs typeface="+mn-cs"/>
                        </a:defRPr>
                      </a:pPr>
                      <a:t>[CELLRANGE]</a:t>
                    </a:fld>
                    <a:r>
                      <a:rPr lang="en-US" baseline="0"/>
                      <a:t>[C</a:t>
                    </a:r>
                    <a:fld id="{16CF54D2-D179-45D8-A616-17CF221A0BAF}" type="PERCENTAGE">
                      <a:rPr lang="en-US" baseline="0"/>
                      <a:pPr>
                        <a:defRPr lang="en-US" sz="1000" b="1" i="0" u="none" strike="noStrike" kern="1200" baseline="0">
                          <a:solidFill>
                            <a:schemeClr val="lt1"/>
                          </a:solidFill>
                          <a:latin typeface="+mn-lt"/>
                          <a:ea typeface="+mn-ea"/>
                          <a:cs typeface="+mn-cs"/>
                        </a:defRPr>
                      </a:pPr>
                      <a:t>[PERCENTAGE]</a:t>
                    </a:fld>
                    <a:endParaRPr lang="en-US" baseline="0"/>
                  </a:p>
                </c:rich>
              </c:tx>
              <c:numFmt formatCode="0.00%" sourceLinked="0"/>
              <c:spPr>
                <a:pattFill prst="pct75">
                  <a:fgClr>
                    <a:sysClr val="windowText" lastClr="000000">
                      <a:lumMod val="75000"/>
                      <a:lumOff val="25000"/>
                    </a:sysClr>
                  </a:fgClr>
                  <a:bgClr>
                    <a:sysClr val="windowText" lastClr="000000">
                      <a:lumMod val="65000"/>
                      <a:lumOff val="35000"/>
                    </a:sysClr>
                  </a:bgClr>
                </a:pattFill>
                <a:ln>
                  <a:noFill/>
                </a:ln>
                <a:effectLst>
                  <a:outerShdw blurRad="50800" dist="38100" dir="2700000" algn="tl" rotWithShape="0">
                    <a:prstClr val="black">
                      <a:alpha val="40000"/>
                    </a:prstClr>
                  </a:outerShdw>
                </a:effectLst>
              </c:spPr>
              <c:dLblPos val="bestFit"/>
              <c:showLegendKey val="0"/>
              <c:showVal val="0"/>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showDataLabelsRange val="0"/>
                </c:ext>
              </c:extLst>
            </c:dLbl>
            <c:dLbl>
              <c:idx val="2"/>
              <c:layout>
                <c:manualLayout>
                  <c:x val="7.0469795554360712E-2"/>
                  <c:y val="8.0371298818693135E-2"/>
                </c:manualLayout>
              </c:layout>
              <c:tx>
                <c:rich>
                  <a:bodyPr rot="0" spcFirstLastPara="1" vertOverflow="ellipsis" vert="horz" wrap="square" lIns="38100" tIns="19050" rIns="38100" bIns="19050" anchor="ctr" anchorCtr="1">
                    <a:noAutofit/>
                  </a:bodyPr>
                  <a:lstStyle/>
                  <a:p>
                    <a:pPr>
                      <a:defRPr lang="en-US" sz="1000" b="1" i="0" u="none" strike="noStrike" kern="1200" baseline="0">
                        <a:solidFill>
                          <a:schemeClr val="lt1"/>
                        </a:solidFill>
                        <a:latin typeface="+mn-lt"/>
                        <a:ea typeface="+mn-ea"/>
                        <a:cs typeface="+mn-cs"/>
                      </a:defRPr>
                    </a:pPr>
                    <a:fld id="{6141A3E1-A2E9-4FCB-A5E3-4D9C188B0C24}" type="CELLRANGE">
                      <a:rPr lang="en-US" baseline="0"/>
                      <a:pPr>
                        <a:defRPr lang="en-US" sz="1000" b="1" i="0" u="none" strike="noStrike" kern="1200" baseline="0">
                          <a:solidFill>
                            <a:schemeClr val="lt1"/>
                          </a:solidFill>
                          <a:latin typeface="+mn-lt"/>
                          <a:ea typeface="+mn-ea"/>
                          <a:cs typeface="+mn-cs"/>
                        </a:defRPr>
                      </a:pPr>
                      <a:t>[CELLRANGE]</a:t>
                    </a:fld>
                    <a:r>
                      <a:rPr lang="en-US" baseline="0"/>
                      <a:t>[C</a:t>
                    </a:r>
                    <a:fld id="{FE600E83-9C54-474A-A2BC-F5D6A0E062E5}" type="PERCENTAGE">
                      <a:rPr lang="en-US" baseline="0"/>
                      <a:pPr>
                        <a:defRPr lang="en-US" sz="1000" b="1" i="0" u="none" strike="noStrike" kern="1200" baseline="0">
                          <a:solidFill>
                            <a:schemeClr val="lt1"/>
                          </a:solidFill>
                          <a:latin typeface="+mn-lt"/>
                          <a:ea typeface="+mn-ea"/>
                          <a:cs typeface="+mn-cs"/>
                        </a:defRPr>
                      </a:pPr>
                      <a:t>[PERCENTAGE]</a:t>
                    </a:fld>
                    <a:endParaRPr lang="en-US" baseline="0"/>
                  </a:p>
                </c:rich>
              </c:tx>
              <c:numFmt formatCode="0.00%" sourceLinked="0"/>
              <c:spPr>
                <a:pattFill prst="pct75">
                  <a:fgClr>
                    <a:sysClr val="windowText" lastClr="000000">
                      <a:lumMod val="75000"/>
                      <a:lumOff val="25000"/>
                    </a:sysClr>
                  </a:fgClr>
                  <a:bgClr>
                    <a:sysClr val="windowText" lastClr="000000">
                      <a:lumMod val="65000"/>
                      <a:lumOff val="35000"/>
                    </a:sysClr>
                  </a:bgClr>
                </a:pattFill>
                <a:ln>
                  <a:noFill/>
                </a:ln>
                <a:effectLst>
                  <a:outerShdw blurRad="50800" dist="38100" dir="2700000" algn="tl" rotWithShape="0">
                    <a:prstClr val="black">
                      <a:alpha val="40000"/>
                    </a:prstClr>
                  </a:outerShdw>
                </a:effectLst>
              </c:spPr>
              <c:dLblPos val="bestFit"/>
              <c:showLegendKey val="0"/>
              <c:showVal val="0"/>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showDataLabelsRange val="0"/>
                </c:ext>
              </c:extLst>
            </c:dLbl>
            <c:dLbl>
              <c:idx val="3"/>
              <c:layout>
                <c:manualLayout>
                  <c:x val="-0.16932310462915037"/>
                  <c:y val="4.9454678792909497E-2"/>
                </c:manualLayout>
              </c:layout>
              <c:tx>
                <c:rich>
                  <a:bodyPr rot="0" spcFirstLastPara="1" vertOverflow="ellipsis" vert="horz" wrap="square" lIns="38100" tIns="19050" rIns="38100" bIns="19050" anchor="ctr" anchorCtr="1">
                    <a:noAutofit/>
                  </a:bodyPr>
                  <a:lstStyle/>
                  <a:p>
                    <a:pPr>
                      <a:defRPr lang="en-US" sz="1000" b="1" i="0" u="none" strike="noStrike" kern="1200" baseline="0">
                        <a:solidFill>
                          <a:schemeClr val="lt1"/>
                        </a:solidFill>
                        <a:latin typeface="+mn-lt"/>
                        <a:ea typeface="+mn-ea"/>
                        <a:cs typeface="+mn-cs"/>
                      </a:defRPr>
                    </a:pPr>
                    <a:fld id="{413066AD-3F20-4D4E-8D16-8B725239C15F}" type="CELLRANGE">
                      <a:rPr lang="en-US" baseline="0"/>
                      <a:pPr>
                        <a:defRPr lang="en-US" sz="1000" b="1" i="0" u="none" strike="noStrike" kern="1200" baseline="0">
                          <a:solidFill>
                            <a:schemeClr val="lt1"/>
                          </a:solidFill>
                          <a:latin typeface="+mn-lt"/>
                          <a:ea typeface="+mn-ea"/>
                          <a:cs typeface="+mn-cs"/>
                        </a:defRPr>
                      </a:pPr>
                      <a:t>[CELLRANGE]</a:t>
                    </a:fld>
                    <a:r>
                      <a:rPr lang="en-US" baseline="0"/>
                      <a:t>[C</a:t>
                    </a:r>
                    <a:fld id="{292A418D-7416-48CD-A517-C1A57FEA6860}" type="PERCENTAGE">
                      <a:rPr lang="en-US" baseline="0"/>
                      <a:pPr>
                        <a:defRPr lang="en-US" sz="1000" b="1" i="0" u="none" strike="noStrike" kern="1200" baseline="0">
                          <a:solidFill>
                            <a:schemeClr val="lt1"/>
                          </a:solidFill>
                          <a:latin typeface="+mn-lt"/>
                          <a:ea typeface="+mn-ea"/>
                          <a:cs typeface="+mn-cs"/>
                        </a:defRPr>
                      </a:pPr>
                      <a:t>[PERCENTAGE]</a:t>
                    </a:fld>
                    <a:endParaRPr lang="en-US" baseline="0"/>
                  </a:p>
                </c:rich>
              </c:tx>
              <c:numFmt formatCode="0.00%" sourceLinked="0"/>
              <c:spPr>
                <a:pattFill prst="pct75">
                  <a:fgClr>
                    <a:sysClr val="windowText" lastClr="000000">
                      <a:lumMod val="75000"/>
                      <a:lumOff val="25000"/>
                    </a:sysClr>
                  </a:fgClr>
                  <a:bgClr>
                    <a:sysClr val="windowText" lastClr="000000">
                      <a:lumMod val="65000"/>
                      <a:lumOff val="35000"/>
                    </a:sysClr>
                  </a:bgClr>
                </a:pattFill>
                <a:ln>
                  <a:noFill/>
                </a:ln>
                <a:effectLst>
                  <a:outerShdw blurRad="50800" dist="38100" dir="2700000" algn="tl" rotWithShape="0">
                    <a:prstClr val="black">
                      <a:alpha val="40000"/>
                    </a:prstClr>
                  </a:outerShdw>
                </a:effectLst>
              </c:spPr>
              <c:dLblPos val="bestFit"/>
              <c:showLegendKey val="0"/>
              <c:showVal val="0"/>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showDataLabelsRange val="0"/>
                </c:ext>
              </c:extLst>
            </c:dLbl>
            <c:dLbl>
              <c:idx val="4"/>
              <c:layout>
                <c:manualLayout>
                  <c:x val="-0.16031184888267153"/>
                  <c:y val="-0.14763551029896452"/>
                </c:manualLayout>
              </c:layout>
              <c:tx>
                <c:rich>
                  <a:bodyPr rot="0" spcFirstLastPara="1" vertOverflow="ellipsis" vert="horz" wrap="square" lIns="38100" tIns="19050" rIns="38100" bIns="19050" anchor="ctr" anchorCtr="1">
                    <a:noAutofit/>
                  </a:bodyPr>
                  <a:lstStyle/>
                  <a:p>
                    <a:pPr>
                      <a:defRPr lang="en-US" sz="1000" b="1" i="0" u="none" strike="noStrike" kern="1200" baseline="0">
                        <a:solidFill>
                          <a:schemeClr val="lt1"/>
                        </a:solidFill>
                        <a:latin typeface="+mn-lt"/>
                        <a:ea typeface="+mn-ea"/>
                        <a:cs typeface="+mn-cs"/>
                      </a:defRPr>
                    </a:pPr>
                    <a:fld id="{F7490819-E71B-4AB8-A71F-108D95C036F4}" type="CELLRANGE">
                      <a:rPr lang="en-US" baseline="0"/>
                      <a:pPr>
                        <a:defRPr lang="en-US" sz="1000" b="1" i="0" u="none" strike="noStrike" kern="1200" baseline="0">
                          <a:solidFill>
                            <a:schemeClr val="lt1"/>
                          </a:solidFill>
                          <a:latin typeface="+mn-lt"/>
                          <a:ea typeface="+mn-ea"/>
                          <a:cs typeface="+mn-cs"/>
                        </a:defRPr>
                      </a:pPr>
                      <a:t>[CELLRANGE]</a:t>
                    </a:fld>
                    <a:r>
                      <a:rPr lang="en-US" baseline="0"/>
                      <a:t>[C</a:t>
                    </a:r>
                    <a:fld id="{0AF328F0-BD5B-4E78-A21C-C431F4652B73}" type="PERCENTAGE">
                      <a:rPr lang="en-US" baseline="0"/>
                      <a:pPr>
                        <a:defRPr lang="en-US" sz="1000" b="1" i="0" u="none" strike="noStrike" kern="1200" baseline="0">
                          <a:solidFill>
                            <a:schemeClr val="lt1"/>
                          </a:solidFill>
                          <a:latin typeface="+mn-lt"/>
                          <a:ea typeface="+mn-ea"/>
                          <a:cs typeface="+mn-cs"/>
                        </a:defRPr>
                      </a:pPr>
                      <a:t>[PERCENTAGE]</a:t>
                    </a:fld>
                    <a:endParaRPr lang="en-US" baseline="0"/>
                  </a:p>
                </c:rich>
              </c:tx>
              <c:numFmt formatCode="0.00%" sourceLinked="0"/>
              <c:spPr>
                <a:pattFill prst="pct75">
                  <a:fgClr>
                    <a:sysClr val="windowText" lastClr="000000">
                      <a:lumMod val="75000"/>
                      <a:lumOff val="25000"/>
                    </a:sysClr>
                  </a:fgClr>
                  <a:bgClr>
                    <a:sysClr val="windowText" lastClr="000000">
                      <a:lumMod val="65000"/>
                      <a:lumOff val="35000"/>
                    </a:sysClr>
                  </a:bgClr>
                </a:pattFill>
                <a:ln>
                  <a:noFill/>
                </a:ln>
                <a:effectLst>
                  <a:outerShdw blurRad="50800" dist="38100" dir="2700000" algn="tl" rotWithShape="0">
                    <a:prstClr val="black">
                      <a:alpha val="40000"/>
                    </a:prstClr>
                  </a:outerShdw>
                </a:effectLst>
              </c:spPr>
              <c:dLblPos val="bestFit"/>
              <c:showLegendKey val="0"/>
              <c:showVal val="0"/>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showDataLabelsRange val="0"/>
                </c:ext>
              </c:extLst>
            </c:dLbl>
            <c:dLbl>
              <c:idx val="5"/>
              <c:layout>
                <c:manualLayout>
                  <c:x val="0.19770692641640131"/>
                  <c:y val="6.0109686979399793E-2"/>
                </c:manualLayout>
              </c:layout>
              <c:tx>
                <c:rich>
                  <a:bodyPr rot="0" spcFirstLastPara="1" vertOverflow="ellipsis" vert="horz" wrap="square" lIns="38100" tIns="19050" rIns="38100" bIns="19050" anchor="ctr" anchorCtr="1">
                    <a:noAutofit/>
                  </a:bodyPr>
                  <a:lstStyle/>
                  <a:p>
                    <a:pPr>
                      <a:defRPr lang="en-US" sz="1000" b="1" i="0" u="none" strike="noStrike" kern="1200" baseline="0">
                        <a:solidFill>
                          <a:schemeClr val="lt1"/>
                        </a:solidFill>
                        <a:latin typeface="+mn-lt"/>
                        <a:ea typeface="+mn-ea"/>
                        <a:cs typeface="+mn-cs"/>
                      </a:defRPr>
                    </a:pPr>
                    <a:fld id="{B3AE8ABA-11EF-425B-87EC-ACFCCD50167C}" type="CELLRANGE">
                      <a:rPr lang="en-US" baseline="0"/>
                      <a:pPr>
                        <a:defRPr lang="en-US" sz="1000" b="1" i="0" u="none" strike="noStrike" kern="1200" baseline="0">
                          <a:solidFill>
                            <a:schemeClr val="lt1"/>
                          </a:solidFill>
                          <a:latin typeface="+mn-lt"/>
                          <a:ea typeface="+mn-ea"/>
                          <a:cs typeface="+mn-cs"/>
                        </a:defRPr>
                      </a:pPr>
                      <a:t>[CELLRANGE]</a:t>
                    </a:fld>
                    <a:r>
                      <a:rPr lang="en-US" baseline="0"/>
                      <a:t>[C</a:t>
                    </a:r>
                    <a:fld id="{0CF9CF23-8F13-4798-8638-078BDC27C3CD}" type="PERCENTAGE">
                      <a:rPr lang="en-US" baseline="0"/>
                      <a:pPr>
                        <a:defRPr lang="en-US" sz="1000" b="1" i="0" u="none" strike="noStrike" kern="1200" baseline="0">
                          <a:solidFill>
                            <a:schemeClr val="lt1"/>
                          </a:solidFill>
                          <a:latin typeface="+mn-lt"/>
                          <a:ea typeface="+mn-ea"/>
                          <a:cs typeface="+mn-cs"/>
                        </a:defRPr>
                      </a:pPr>
                      <a:t>[PERCENTAGE]</a:t>
                    </a:fld>
                    <a:endParaRPr lang="en-US" baseline="0"/>
                  </a:p>
                </c:rich>
              </c:tx>
              <c:numFmt formatCode="0.00%" sourceLinked="0"/>
              <c:spPr>
                <a:pattFill prst="pct75">
                  <a:fgClr>
                    <a:sysClr val="windowText" lastClr="000000">
                      <a:lumMod val="75000"/>
                      <a:lumOff val="25000"/>
                    </a:sysClr>
                  </a:fgClr>
                  <a:bgClr>
                    <a:sysClr val="windowText" lastClr="000000">
                      <a:lumMod val="65000"/>
                      <a:lumOff val="35000"/>
                    </a:sysClr>
                  </a:bgClr>
                </a:pattFill>
                <a:ln>
                  <a:noFill/>
                </a:ln>
                <a:effectLst>
                  <a:outerShdw blurRad="50800" dist="38100" dir="2700000" algn="tl" rotWithShape="0">
                    <a:prstClr val="black">
                      <a:alpha val="40000"/>
                    </a:prstClr>
                  </a:outerShdw>
                </a:effectLst>
              </c:spPr>
              <c:dLblPos val="bestFit"/>
              <c:showLegendKey val="0"/>
              <c:showVal val="0"/>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showDataLabelsRange val="0"/>
                </c:ext>
              </c:extLst>
            </c:dLbl>
            <c:numFmt formatCode="0.00%" sourceLinked="0"/>
            <c:spPr>
              <a:pattFill prst="pct75">
                <a:fgClr>
                  <a:sysClr val="windowText" lastClr="000000">
                    <a:lumMod val="75000"/>
                    <a:lumOff val="25000"/>
                  </a:sysClr>
                </a:fgClr>
                <a:bgClr>
                  <a:sysClr val="windowText" lastClr="000000">
                    <a:lumMod val="65000"/>
                    <a:lumOff val="35000"/>
                  </a:sysClr>
                </a:bgClr>
              </a:pattFill>
              <a:ln>
                <a:noFill/>
              </a:ln>
              <a:effectLst>
                <a:outerShdw blurRad="50800" dist="38100" dir="2700000" algn="tl" rotWithShape="0">
                  <a:prstClr val="black">
                    <a:alpha val="40000"/>
                  </a:prstClr>
                </a:outerShdw>
              </a:effectLst>
            </c:spPr>
            <c:txPr>
              <a:bodyPr rot="0" spcFirstLastPara="1" vertOverflow="ellipsis" vert="horz" wrap="square" lIns="38100" tIns="19050" rIns="38100" bIns="19050" anchor="ctr" anchorCtr="1">
                <a:spAutoFit/>
              </a:bodyPr>
              <a:lstStyle/>
              <a:p>
                <a:pPr>
                  <a:defRPr lang="en-US" sz="1000" b="1" i="0" u="none" strike="noStrike" kern="1200" baseline="0">
                    <a:solidFill>
                      <a:schemeClr val="lt1"/>
                    </a:solidFill>
                    <a:latin typeface="+mn-lt"/>
                    <a:ea typeface="+mn-ea"/>
                    <a:cs typeface="+mn-cs"/>
                  </a:defRPr>
                </a:pPr>
                <a:endParaRPr lang="en-US"/>
              </a:p>
            </c:txPr>
            <c:showLegendKey val="0"/>
            <c:showVal val="0"/>
            <c:showCatName val="0"/>
            <c:showSerName val="0"/>
            <c:showPercent val="1"/>
            <c:showBubbleSize val="0"/>
            <c:showLeaderLines val="1"/>
            <c:leaderLines>
              <c:spPr>
                <a:ln w="9525">
                  <a:solidFill>
                    <a:schemeClr val="dk1">
                      <a:lumMod val="50000"/>
                      <a:lumOff val="50000"/>
                    </a:schemeClr>
                  </a:solidFill>
                </a:ln>
                <a:effectLst/>
              </c:spPr>
            </c:leaderLines>
            <c:extLst>
              <c:ext xmlns:c15="http://schemas.microsoft.com/office/drawing/2012/chart" uri="{CE6537A1-D6FC-4f65-9D91-7224C49458BB}"/>
            </c:extLst>
          </c:dLbls>
          <c:cat>
            <c:strRef>
              <c:f>'Summary Tables &amp; Charts'!$C$261:$C$266</c:f>
              <c:strCache>
                <c:ptCount val="6"/>
                <c:pt idx="0">
                  <c:v>Others</c:v>
                </c:pt>
                <c:pt idx="1">
                  <c:v>Governance improved</c:v>
                </c:pt>
                <c:pt idx="2">
                  <c:v>Safer environment created</c:v>
                </c:pt>
                <c:pt idx="3">
                  <c:v>Environmental quality improved</c:v>
                </c:pt>
                <c:pt idx="4">
                  <c:v>Basic infrastructure services enhanced</c:v>
                </c:pt>
                <c:pt idx="5">
                  <c:v>Competitiveness enhanced </c:v>
                </c:pt>
              </c:strCache>
            </c:strRef>
          </c:cat>
          <c:val>
            <c:numRef>
              <c:f>'Summary Tables &amp; Charts'!$K$261:$K$266</c:f>
              <c:numCache>
                <c:formatCode>_(* #,##0.00_);_(* \(#,##0.00\);_(* "-"??_);_(@_)</c:formatCode>
                <c:ptCount val="6"/>
                <c:pt idx="0">
                  <c:v>0</c:v>
                </c:pt>
                <c:pt idx="1">
                  <c:v>0</c:v>
                </c:pt>
                <c:pt idx="2">
                  <c:v>0</c:v>
                </c:pt>
                <c:pt idx="3">
                  <c:v>0</c:v>
                </c:pt>
                <c:pt idx="4">
                  <c:v>0</c:v>
                </c:pt>
                <c:pt idx="5">
                  <c:v>0</c:v>
                </c:pt>
              </c:numCache>
            </c:numRef>
          </c:val>
        </c:ser>
        <c:dLbls>
          <c:showLegendKey val="0"/>
          <c:showVal val="0"/>
          <c:showCatName val="0"/>
          <c:showSerName val="0"/>
          <c:showPercent val="1"/>
          <c:showBubbleSize val="0"/>
          <c:showLeaderLines val="1"/>
        </c:dLbls>
        <c:firstSliceAng val="42"/>
      </c:pieChart>
      <c:spPr>
        <a:solidFill>
          <a:schemeClr val="lt1"/>
        </a:solidFill>
        <a:ln w="12700" cap="flat" cmpd="sng" algn="ctr">
          <a:noFill/>
          <a:prstDash val="solid"/>
          <a:miter lim="800000"/>
        </a:ln>
        <a:effectLst/>
      </c:spPr>
    </c:plotArea>
    <c:legend>
      <c:legendPos val="r"/>
      <c:layout>
        <c:manualLayout>
          <c:xMode val="edge"/>
          <c:yMode val="edge"/>
          <c:x val="8.0094286084420097E-2"/>
          <c:y val="0.853732432101035"/>
          <c:w val="0.83981214673811067"/>
          <c:h val="0.10149266675326989"/>
        </c:manualLayout>
      </c:layout>
      <c:overlay val="0"/>
      <c:spPr>
        <a:solidFill>
          <a:schemeClr val="bg1">
            <a:lumMod val="85000"/>
          </a:schemeClr>
        </a:solidFill>
        <a:ln>
          <a:solidFill>
            <a:schemeClr val="tx1"/>
          </a:solidFill>
        </a:ln>
        <a:effectLst/>
      </c:spPr>
      <c:txPr>
        <a:bodyPr rot="0" spcFirstLastPara="1" vertOverflow="ellipsis" vert="horz" wrap="square" anchor="b" anchorCtr="0"/>
        <a:lstStyle/>
        <a:p>
          <a:pPr>
            <a:defRPr lang="en-US" sz="900" b="0" i="0" u="none" strike="noStrike" kern="1200" baseline="0">
              <a:solidFill>
                <a:schemeClr val="dk1">
                  <a:lumMod val="75000"/>
                  <a:lumOff val="25000"/>
                </a:schemeClr>
              </a:solidFill>
              <a:latin typeface="+mn-lt"/>
              <a:ea typeface="+mn-ea"/>
              <a:cs typeface="+mn-cs"/>
            </a:defRPr>
          </a:pPr>
          <a:endParaRPr lang="en-US"/>
        </a:p>
      </c:txPr>
    </c:legend>
    <c:plotVisOnly val="1"/>
    <c:dispBlanksAs val="zero"/>
    <c:showDLblsOverMax val="0"/>
  </c:chart>
  <c:spPr>
    <a:noFill/>
    <a:ln w="9525" cap="flat" cmpd="sng" algn="ctr">
      <a:solidFill>
        <a:schemeClr val="tx1"/>
      </a:solidFill>
      <a:round/>
    </a:ln>
    <a:effectLst/>
  </c:spPr>
  <c:txPr>
    <a:bodyPr/>
    <a:lstStyle/>
    <a:p>
      <a:pPr>
        <a:defRPr/>
      </a:pPr>
      <a:endParaRPr lang="en-US"/>
    </a:p>
  </c:txPr>
  <c:printSettings>
    <c:headerFooter/>
    <c:pageMargins b="0.75000000000000022" l="0.70000000000000018" r="0.70000000000000018" t="0.75000000000000022" header="0.3000000000000001" footer="0.3000000000000001"/>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t" anchorCtr="1"/>
          <a:lstStyle/>
          <a:p>
            <a:pPr>
              <a:defRPr lang="en-US" sz="1800" b="1" i="0" u="none" strike="noStrike" kern="1200" baseline="0">
                <a:solidFill>
                  <a:sysClr val="windowText" lastClr="000000"/>
                </a:solidFill>
                <a:latin typeface="+mn-lt"/>
                <a:ea typeface="+mn-ea"/>
                <a:cs typeface="+mn-cs"/>
              </a:defRPr>
            </a:pPr>
            <a:r>
              <a:rPr lang="en-US" sz="1200" b="1" i="0" baseline="0">
                <a:solidFill>
                  <a:sysClr val="windowText" lastClr="000000"/>
                </a:solidFill>
                <a:effectLst/>
              </a:rPr>
              <a:t>Comprehensive and Integrated Infrastructure Program (CIIP), by Funding Source</a:t>
            </a:r>
          </a:p>
          <a:p>
            <a:pPr>
              <a:defRPr lang="en-US" sz="1800" b="1" i="0" u="none" strike="noStrike" kern="1200" baseline="0">
                <a:solidFill>
                  <a:sysClr val="windowText" lastClr="000000"/>
                </a:solidFill>
                <a:latin typeface="+mn-lt"/>
                <a:ea typeface="+mn-ea"/>
                <a:cs typeface="+mn-cs"/>
              </a:defRPr>
            </a:pPr>
            <a:r>
              <a:rPr lang="en-US" sz="1100" b="0" i="1" u="none" baseline="0">
                <a:solidFill>
                  <a:sysClr val="windowText" lastClr="000000"/>
                </a:solidFill>
                <a:effectLst/>
              </a:rPr>
              <a:t>Total Infrastructure Investment of PhP7.27 trillion; </a:t>
            </a:r>
          </a:p>
          <a:p>
            <a:pPr>
              <a:defRPr lang="en-US" sz="1800" b="1" i="0" u="none" strike="noStrike" kern="1200" baseline="0">
                <a:solidFill>
                  <a:sysClr val="windowText" lastClr="000000"/>
                </a:solidFill>
                <a:latin typeface="+mn-lt"/>
                <a:ea typeface="+mn-ea"/>
                <a:cs typeface="+mn-cs"/>
              </a:defRPr>
            </a:pPr>
            <a:r>
              <a:rPr lang="en-US" sz="1100" b="0" i="1" u="none" strike="noStrike" baseline="0">
                <a:solidFill>
                  <a:sysClr val="windowText" lastClr="000000"/>
                </a:solidFill>
                <a:effectLst/>
              </a:rPr>
              <a:t>Years: 2013-2016 and Beyond</a:t>
            </a:r>
            <a:endParaRPr lang="en-US" sz="1100" i="1" u="none">
              <a:solidFill>
                <a:sysClr val="windowText" lastClr="000000"/>
              </a:solidFill>
              <a:effectLst/>
            </a:endParaRPr>
          </a:p>
        </c:rich>
      </c:tx>
      <c:layout>
        <c:manualLayout>
          <c:xMode val="edge"/>
          <c:yMode val="edge"/>
          <c:x val="0.14188097528532914"/>
          <c:y val="1.6631765115382082E-2"/>
        </c:manualLayout>
      </c:layout>
      <c:overlay val="0"/>
      <c:spPr>
        <a:noFill/>
        <a:ln w="25400">
          <a:noFill/>
        </a:ln>
      </c:spPr>
    </c:title>
    <c:autoTitleDeleted val="0"/>
    <c:plotArea>
      <c:layout>
        <c:manualLayout>
          <c:layoutTarget val="inner"/>
          <c:xMode val="edge"/>
          <c:yMode val="edge"/>
          <c:x val="0.13851256746417973"/>
          <c:y val="0.1423229682985567"/>
          <c:w val="0.55196374330946552"/>
          <c:h val="0.71528779469239212"/>
        </c:manualLayout>
      </c:layout>
      <c:pieChart>
        <c:varyColors val="1"/>
        <c:ser>
          <c:idx val="0"/>
          <c:order val="0"/>
          <c:tx>
            <c:strRef>
              <c:f>'Summary Tables &amp; Charts'!$J$209</c:f>
              <c:strCache>
                <c:ptCount val="1"/>
                <c:pt idx="0">
                  <c:v>Investment Cost
(in Thousand PhP)</c:v>
                </c:pt>
              </c:strCache>
            </c:strRef>
          </c:tx>
          <c:dPt>
            <c:idx val="0"/>
            <c:bubble3D val="0"/>
            <c:spPr>
              <a:solidFill>
                <a:schemeClr val="bg1">
                  <a:lumMod val="50000"/>
                </a:schemeClr>
              </a:solidFill>
              <a:ln>
                <a:noFill/>
              </a:ln>
              <a:effectLst>
                <a:outerShdw blurRad="254000" sx="102000" sy="102000" algn="ctr" rotWithShape="0">
                  <a:prstClr val="black">
                    <a:alpha val="20000"/>
                  </a:prstClr>
                </a:outerShdw>
              </a:effectLst>
            </c:spPr>
          </c:dPt>
          <c:dPt>
            <c:idx val="1"/>
            <c:bubble3D val="0"/>
            <c:spPr>
              <a:solidFill>
                <a:srgbClr val="FF0000"/>
              </a:solidFill>
              <a:ln>
                <a:noFill/>
              </a:ln>
              <a:effectLst>
                <a:outerShdw blurRad="254000" sx="102000" sy="102000" algn="ctr" rotWithShape="0">
                  <a:prstClr val="black">
                    <a:alpha val="20000"/>
                  </a:prstClr>
                </a:outerShdw>
              </a:effectLst>
            </c:spPr>
          </c:dPt>
          <c:dPt>
            <c:idx val="2"/>
            <c:bubble3D val="0"/>
            <c:spPr>
              <a:solidFill>
                <a:srgbClr val="FFFF00"/>
              </a:solidFill>
              <a:ln>
                <a:noFill/>
              </a:ln>
              <a:effectLst>
                <a:outerShdw blurRad="254000" sx="102000" sy="102000" algn="ctr" rotWithShape="0">
                  <a:prstClr val="black">
                    <a:alpha val="20000"/>
                  </a:prstClr>
                </a:outerShdw>
              </a:effectLst>
            </c:spPr>
          </c:dPt>
          <c:dLbls>
            <c:dLbl>
              <c:idx val="0"/>
              <c:layout>
                <c:manualLayout>
                  <c:x val="-0.14971474905620172"/>
                  <c:y val="5.1077295672551454E-2"/>
                </c:manualLayout>
              </c:layout>
              <c:tx>
                <c:rich>
                  <a:bodyPr rot="0" spcFirstLastPara="1" vertOverflow="ellipsis" vert="horz" wrap="square" lIns="38100" tIns="19050" rIns="38100" bIns="19050" anchor="ctr" anchorCtr="1">
                    <a:noAutofit/>
                  </a:bodyPr>
                  <a:lstStyle/>
                  <a:p>
                    <a:pPr>
                      <a:defRPr lang="en-US" sz="1000" b="1" i="0" u="none" strike="noStrike" kern="1200" baseline="0">
                        <a:solidFill>
                          <a:schemeClr val="lt1"/>
                        </a:solidFill>
                        <a:latin typeface="+mn-lt"/>
                        <a:ea typeface="+mn-ea"/>
                        <a:cs typeface="+mn-cs"/>
                      </a:defRPr>
                    </a:pPr>
                    <a:fld id="{84DE2911-144C-471D-B2A4-60AA4D553179}" type="CELLRANGE">
                      <a:rPr lang="en-US" baseline="0"/>
                      <a:pPr>
                        <a:defRPr lang="en-US" sz="1000" b="1" i="0" u="none" strike="noStrike" kern="1200" baseline="0">
                          <a:solidFill>
                            <a:schemeClr val="lt1"/>
                          </a:solidFill>
                          <a:latin typeface="+mn-lt"/>
                          <a:ea typeface="+mn-ea"/>
                          <a:cs typeface="+mn-cs"/>
                        </a:defRPr>
                      </a:pPr>
                      <a:t>[CELLRANGE]</a:t>
                    </a:fld>
                    <a:r>
                      <a:rPr lang="en-US" baseline="0"/>
                      <a:t>[C</a:t>
                    </a:r>
                    <a:fld id="{F05E465E-A234-4F9A-924B-5F4ABD722D8F}" type="PERCENTAGE">
                      <a:rPr lang="en-US" baseline="0"/>
                      <a:pPr>
                        <a:defRPr lang="en-US" sz="1000" b="1" i="0" u="none" strike="noStrike" kern="1200" baseline="0">
                          <a:solidFill>
                            <a:schemeClr val="lt1"/>
                          </a:solidFill>
                          <a:latin typeface="+mn-lt"/>
                          <a:ea typeface="+mn-ea"/>
                          <a:cs typeface="+mn-cs"/>
                        </a:defRPr>
                      </a:pPr>
                      <a:t>[PERCENTAGE]</a:t>
                    </a:fld>
                    <a:endParaRPr lang="en-US" baseline="0"/>
                  </a:p>
                </c:rich>
              </c:tx>
              <c:numFmt formatCode="0.00%" sourceLinked="0"/>
              <c:spPr>
                <a:pattFill prst="pct75">
                  <a:fgClr>
                    <a:sysClr val="windowText" lastClr="000000">
                      <a:lumMod val="75000"/>
                      <a:lumOff val="25000"/>
                    </a:sysClr>
                  </a:fgClr>
                  <a:bgClr>
                    <a:sysClr val="windowText" lastClr="000000">
                      <a:lumMod val="65000"/>
                      <a:lumOff val="35000"/>
                    </a:sysClr>
                  </a:bgClr>
                </a:pattFill>
                <a:ln>
                  <a:noFill/>
                </a:ln>
                <a:effectLst>
                  <a:outerShdw blurRad="50800" dist="38100" dir="2700000" algn="tl" rotWithShape="0">
                    <a:prstClr val="black">
                      <a:alpha val="40000"/>
                    </a:prstClr>
                  </a:outerShdw>
                </a:effectLst>
              </c:spPr>
              <c:dLblPos val="bestFit"/>
              <c:showLegendKey val="0"/>
              <c:showVal val="0"/>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showDataLabelsRange val="0"/>
                </c:ext>
              </c:extLst>
            </c:dLbl>
            <c:dLbl>
              <c:idx val="1"/>
              <c:layout>
                <c:manualLayout>
                  <c:x val="-0.1217249347476205"/>
                  <c:y val="-0.19586985472412516"/>
                </c:manualLayout>
              </c:layout>
              <c:tx>
                <c:rich>
                  <a:bodyPr rot="0" spcFirstLastPara="1" vertOverflow="ellipsis" vert="horz" wrap="square" lIns="38100" tIns="19050" rIns="38100" bIns="19050" anchor="ctr" anchorCtr="1">
                    <a:noAutofit/>
                  </a:bodyPr>
                  <a:lstStyle/>
                  <a:p>
                    <a:pPr>
                      <a:defRPr lang="en-US" sz="1000" b="1" i="0" u="none" strike="noStrike" kern="1200" baseline="0">
                        <a:solidFill>
                          <a:schemeClr val="lt1"/>
                        </a:solidFill>
                        <a:latin typeface="+mn-lt"/>
                        <a:ea typeface="+mn-ea"/>
                        <a:cs typeface="+mn-cs"/>
                      </a:defRPr>
                    </a:pPr>
                    <a:fld id="{DCC776AC-23F9-471B-A0B3-8857B10A3823}" type="CELLRANGE">
                      <a:rPr lang="en-US" baseline="0"/>
                      <a:pPr>
                        <a:defRPr lang="en-US" sz="1000" b="1" i="0" u="none" strike="noStrike" kern="1200" baseline="0">
                          <a:solidFill>
                            <a:schemeClr val="lt1"/>
                          </a:solidFill>
                          <a:latin typeface="+mn-lt"/>
                          <a:ea typeface="+mn-ea"/>
                          <a:cs typeface="+mn-cs"/>
                        </a:defRPr>
                      </a:pPr>
                      <a:t>[CELLRANGE]</a:t>
                    </a:fld>
                    <a:r>
                      <a:rPr lang="en-US" baseline="0"/>
                      <a:t>[C</a:t>
                    </a:r>
                    <a:fld id="{C737206A-8C9D-4335-8D7E-88C1671A9DAB}" type="PERCENTAGE">
                      <a:rPr lang="en-US" baseline="0"/>
                      <a:pPr>
                        <a:defRPr lang="en-US" sz="1000" b="1" i="0" u="none" strike="noStrike" kern="1200" baseline="0">
                          <a:solidFill>
                            <a:schemeClr val="lt1"/>
                          </a:solidFill>
                          <a:latin typeface="+mn-lt"/>
                          <a:ea typeface="+mn-ea"/>
                          <a:cs typeface="+mn-cs"/>
                        </a:defRPr>
                      </a:pPr>
                      <a:t>[PERCENTAGE]</a:t>
                    </a:fld>
                    <a:endParaRPr lang="en-US" baseline="0"/>
                  </a:p>
                </c:rich>
              </c:tx>
              <c:numFmt formatCode="0.00%" sourceLinked="0"/>
              <c:spPr>
                <a:pattFill prst="pct75">
                  <a:fgClr>
                    <a:sysClr val="windowText" lastClr="000000">
                      <a:lumMod val="75000"/>
                      <a:lumOff val="25000"/>
                    </a:sysClr>
                  </a:fgClr>
                  <a:bgClr>
                    <a:sysClr val="windowText" lastClr="000000">
                      <a:lumMod val="65000"/>
                      <a:lumOff val="35000"/>
                    </a:sysClr>
                  </a:bgClr>
                </a:pattFill>
                <a:ln>
                  <a:noFill/>
                </a:ln>
                <a:effectLst>
                  <a:outerShdw blurRad="50800" dist="38100" dir="2700000" algn="tl" rotWithShape="0">
                    <a:prstClr val="black">
                      <a:alpha val="40000"/>
                    </a:prstClr>
                  </a:outerShdw>
                </a:effectLst>
              </c:spPr>
              <c:dLblPos val="bestFit"/>
              <c:showLegendKey val="0"/>
              <c:showVal val="0"/>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showDataLabelsRange val="0"/>
                </c:ext>
              </c:extLst>
            </c:dLbl>
            <c:dLbl>
              <c:idx val="2"/>
              <c:layout>
                <c:manualLayout>
                  <c:x val="0.1967158485830362"/>
                  <c:y val="0.1424313934207152"/>
                </c:manualLayout>
              </c:layout>
              <c:tx>
                <c:rich>
                  <a:bodyPr rot="0" spcFirstLastPara="1" vertOverflow="ellipsis" vert="horz" wrap="square" lIns="38100" tIns="19050" rIns="38100" bIns="19050" anchor="ctr" anchorCtr="1">
                    <a:noAutofit/>
                  </a:bodyPr>
                  <a:lstStyle/>
                  <a:p>
                    <a:pPr>
                      <a:defRPr lang="en-US" sz="1000" b="1" i="0" u="none" strike="noStrike" kern="1200" baseline="0">
                        <a:solidFill>
                          <a:schemeClr val="lt1"/>
                        </a:solidFill>
                        <a:latin typeface="+mn-lt"/>
                        <a:ea typeface="+mn-ea"/>
                        <a:cs typeface="+mn-cs"/>
                      </a:defRPr>
                    </a:pPr>
                    <a:fld id="{AFC91D5A-DF23-48CE-B015-5E2678326F49}" type="CELLRANGE">
                      <a:rPr lang="en-US" baseline="0"/>
                      <a:pPr>
                        <a:defRPr lang="en-US" sz="1000" b="1" i="0" u="none" strike="noStrike" kern="1200" baseline="0">
                          <a:solidFill>
                            <a:schemeClr val="lt1"/>
                          </a:solidFill>
                          <a:latin typeface="+mn-lt"/>
                          <a:ea typeface="+mn-ea"/>
                          <a:cs typeface="+mn-cs"/>
                        </a:defRPr>
                      </a:pPr>
                      <a:t>[CELLRANGE]</a:t>
                    </a:fld>
                    <a:r>
                      <a:rPr lang="en-US" baseline="0"/>
                      <a:t>[C</a:t>
                    </a:r>
                    <a:fld id="{FC09C48E-86D7-4809-9DB8-ABA3F8CB2BE1}" type="PERCENTAGE">
                      <a:rPr lang="en-US" baseline="0"/>
                      <a:pPr>
                        <a:defRPr lang="en-US" sz="1000" b="1" i="0" u="none" strike="noStrike" kern="1200" baseline="0">
                          <a:solidFill>
                            <a:schemeClr val="lt1"/>
                          </a:solidFill>
                          <a:latin typeface="+mn-lt"/>
                          <a:ea typeface="+mn-ea"/>
                          <a:cs typeface="+mn-cs"/>
                        </a:defRPr>
                      </a:pPr>
                      <a:t>[PERCENTAGE]</a:t>
                    </a:fld>
                    <a:endParaRPr lang="en-US" baseline="0"/>
                  </a:p>
                </c:rich>
              </c:tx>
              <c:numFmt formatCode="0.00%" sourceLinked="0"/>
              <c:spPr>
                <a:pattFill prst="pct75">
                  <a:fgClr>
                    <a:sysClr val="windowText" lastClr="000000">
                      <a:lumMod val="75000"/>
                      <a:lumOff val="25000"/>
                    </a:sysClr>
                  </a:fgClr>
                  <a:bgClr>
                    <a:sysClr val="windowText" lastClr="000000">
                      <a:lumMod val="65000"/>
                      <a:lumOff val="35000"/>
                    </a:sysClr>
                  </a:bgClr>
                </a:pattFill>
                <a:ln>
                  <a:noFill/>
                </a:ln>
                <a:effectLst>
                  <a:outerShdw blurRad="50800" dist="38100" dir="2700000" algn="tl" rotWithShape="0">
                    <a:prstClr val="black">
                      <a:alpha val="40000"/>
                    </a:prstClr>
                  </a:outerShdw>
                </a:effectLst>
              </c:spPr>
              <c:dLblPos val="bestFit"/>
              <c:showLegendKey val="0"/>
              <c:showVal val="0"/>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showDataLabelsRange val="0"/>
                </c:ext>
              </c:extLst>
            </c:dLbl>
            <c:numFmt formatCode="0.00%" sourceLinked="0"/>
            <c:spPr>
              <a:pattFill prst="pct75">
                <a:fgClr>
                  <a:sysClr val="windowText" lastClr="000000">
                    <a:lumMod val="75000"/>
                    <a:lumOff val="25000"/>
                  </a:sysClr>
                </a:fgClr>
                <a:bgClr>
                  <a:sysClr val="windowText" lastClr="000000">
                    <a:lumMod val="65000"/>
                    <a:lumOff val="35000"/>
                  </a:sysClr>
                </a:bgClr>
              </a:pattFill>
              <a:ln>
                <a:noFill/>
              </a:ln>
              <a:effectLst>
                <a:outerShdw blurRad="50800" dist="38100" dir="2700000" algn="tl" rotWithShape="0">
                  <a:prstClr val="black">
                    <a:alpha val="40000"/>
                  </a:prstClr>
                </a:outerShdw>
              </a:effectLst>
            </c:spPr>
            <c:txPr>
              <a:bodyPr rot="0" spcFirstLastPara="1" vertOverflow="ellipsis" vert="horz" wrap="square" lIns="38100" tIns="19050" rIns="38100" bIns="19050" anchor="ctr" anchorCtr="1">
                <a:spAutoFit/>
              </a:bodyPr>
              <a:lstStyle/>
              <a:p>
                <a:pPr>
                  <a:defRPr lang="en-US" sz="1000" b="1" i="0" u="none" strike="noStrike" kern="1200" baseline="0">
                    <a:solidFill>
                      <a:schemeClr val="lt1"/>
                    </a:solidFill>
                    <a:latin typeface="+mn-lt"/>
                    <a:ea typeface="+mn-ea"/>
                    <a:cs typeface="+mn-cs"/>
                  </a:defRPr>
                </a:pPr>
                <a:endParaRPr lang="en-US"/>
              </a:p>
            </c:txPr>
            <c:dLblPos val="ctr"/>
            <c:showLegendKey val="0"/>
            <c:showVal val="0"/>
            <c:showCatName val="0"/>
            <c:showSerName val="0"/>
            <c:showPercent val="1"/>
            <c:showBubbleSize val="0"/>
            <c:showLeaderLines val="1"/>
            <c:leaderLines>
              <c:spPr>
                <a:ln w="9525">
                  <a:solidFill>
                    <a:schemeClr val="dk1">
                      <a:lumMod val="50000"/>
                      <a:lumOff val="50000"/>
                    </a:schemeClr>
                  </a:solidFill>
                </a:ln>
                <a:effectLst/>
              </c:spPr>
            </c:leaderLines>
            <c:extLst>
              <c:ext xmlns:c15="http://schemas.microsoft.com/office/drawing/2012/chart" uri="{CE6537A1-D6FC-4f65-9D91-7224C49458BB}"/>
            </c:extLst>
          </c:dLbls>
          <c:cat>
            <c:strRef>
              <c:f>'Summary Tables &amp; Charts'!$C$210:$C$212</c:f>
              <c:strCache>
                <c:ptCount val="3"/>
                <c:pt idx="0">
                  <c:v>Others / Source Not Indicated</c:v>
                </c:pt>
                <c:pt idx="1">
                  <c:v>Private Sector</c:v>
                </c:pt>
                <c:pt idx="2">
                  <c:v>Government</c:v>
                </c:pt>
              </c:strCache>
            </c:strRef>
          </c:cat>
          <c:val>
            <c:numRef>
              <c:f>'Summary Tables &amp; Charts'!$J$210:$J$212</c:f>
              <c:numCache>
                <c:formatCode>_(* #,##0.00_);_(* \(#,##0.00\);_(* "-"??_);_(@_)</c:formatCode>
                <c:ptCount val="3"/>
                <c:pt idx="0">
                  <c:v>0</c:v>
                </c:pt>
                <c:pt idx="1">
                  <c:v>0</c:v>
                </c:pt>
                <c:pt idx="2">
                  <c:v>0</c:v>
                </c:pt>
              </c:numCache>
            </c:numRef>
          </c:val>
        </c:ser>
        <c:dLbls>
          <c:showLegendKey val="0"/>
          <c:showVal val="0"/>
          <c:showCatName val="0"/>
          <c:showSerName val="0"/>
          <c:showPercent val="1"/>
          <c:showBubbleSize val="0"/>
          <c:showLeaderLines val="1"/>
        </c:dLbls>
        <c:firstSliceAng val="55"/>
      </c:pieChart>
      <c:spPr>
        <a:noFill/>
        <a:ln w="25400">
          <a:noFill/>
        </a:ln>
      </c:spPr>
    </c:plotArea>
    <c:legend>
      <c:legendPos val="r"/>
      <c:layout>
        <c:manualLayout>
          <c:xMode val="edge"/>
          <c:yMode val="edge"/>
          <c:x val="0.13529425365633266"/>
          <c:y val="0.87779577403165432"/>
          <c:w val="0.744706630995292"/>
          <c:h val="9.0909239755400523E-2"/>
        </c:manualLayout>
      </c:layout>
      <c:overlay val="0"/>
      <c:spPr>
        <a:solidFill>
          <a:schemeClr val="bg1">
            <a:lumMod val="95000"/>
          </a:schemeClr>
        </a:solidFill>
        <a:ln>
          <a:solidFill>
            <a:schemeClr val="tx1"/>
          </a:solidFill>
        </a:ln>
        <a:effectLst/>
      </c:spPr>
      <c:txPr>
        <a:bodyPr rot="0" spcFirstLastPara="1" vertOverflow="ellipsis" vert="horz" wrap="square" anchor="ctr" anchorCtr="1"/>
        <a:lstStyle/>
        <a:p>
          <a:pPr>
            <a:defRPr lang="en-US" sz="900" b="0" i="0" u="none" strike="noStrike" kern="1200" baseline="0">
              <a:solidFill>
                <a:schemeClr val="dk1">
                  <a:lumMod val="75000"/>
                  <a:lumOff val="25000"/>
                </a:schemeClr>
              </a:solidFill>
              <a:latin typeface="+mn-lt"/>
              <a:ea typeface="+mn-ea"/>
              <a:cs typeface="+mn-cs"/>
            </a:defRPr>
          </a:pPr>
          <a:endParaRPr lang="en-US"/>
        </a:p>
      </c:txPr>
    </c:legend>
    <c:plotVisOnly val="1"/>
    <c:dispBlanksAs val="zero"/>
    <c:showDLblsOverMax val="0"/>
  </c:chart>
  <c:spPr>
    <a:noFill/>
    <a:ln w="6350">
      <a:noFill/>
    </a:ln>
  </c:spPr>
  <c:txPr>
    <a:bodyPr/>
    <a:lstStyle/>
    <a:p>
      <a:pPr>
        <a:defRPr/>
      </a:pPr>
      <a:endParaRPr lang="en-US"/>
    </a:p>
  </c:txPr>
  <c:printSettings>
    <c:headerFooter/>
    <c:pageMargins b="0.75000000000000022" l="0.70000000000000018" r="0.70000000000000018" t="0.75000000000000022" header="0.3000000000000001" footer="0.3000000000000001"/>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t" anchorCtr="1"/>
          <a:lstStyle/>
          <a:p>
            <a:pPr algn="l">
              <a:defRPr lang="en-US" sz="1800" b="1" i="0" u="none" strike="noStrike" kern="1200" baseline="0">
                <a:solidFill>
                  <a:sysClr val="windowText" lastClr="000000"/>
                </a:solidFill>
                <a:latin typeface="+mn-lt"/>
                <a:ea typeface="+mn-ea"/>
                <a:cs typeface="+mn-cs"/>
              </a:defRPr>
            </a:pPr>
            <a:r>
              <a:rPr lang="en-US" sz="1100" b="0" i="1" u="none" baseline="0">
                <a:solidFill>
                  <a:sysClr val="windowText" lastClr="000000"/>
                </a:solidFill>
                <a:effectLst/>
              </a:rPr>
              <a:t>Total Infrastructure Investment of PhP7.27 trillion; </a:t>
            </a:r>
          </a:p>
          <a:p>
            <a:pPr algn="l">
              <a:defRPr lang="en-US" sz="1800" b="1" i="0" u="none" strike="noStrike" kern="1200" baseline="0">
                <a:solidFill>
                  <a:sysClr val="windowText" lastClr="000000"/>
                </a:solidFill>
                <a:latin typeface="+mn-lt"/>
                <a:ea typeface="+mn-ea"/>
                <a:cs typeface="+mn-cs"/>
              </a:defRPr>
            </a:pPr>
            <a:r>
              <a:rPr lang="en-US" sz="1100" b="0" i="1" u="none" strike="noStrike" baseline="0">
                <a:solidFill>
                  <a:sysClr val="windowText" lastClr="000000"/>
                </a:solidFill>
                <a:effectLst/>
              </a:rPr>
              <a:t>Years: 2013-2016 and Beyond</a:t>
            </a:r>
            <a:endParaRPr lang="en-US" sz="1100" i="1" u="none">
              <a:solidFill>
                <a:sysClr val="windowText" lastClr="000000"/>
              </a:solidFill>
              <a:effectLst/>
            </a:endParaRPr>
          </a:p>
        </c:rich>
      </c:tx>
      <c:layout>
        <c:manualLayout>
          <c:xMode val="edge"/>
          <c:yMode val="edge"/>
          <c:x val="2.8346297380505737E-2"/>
          <c:y val="2.6456317289498023E-2"/>
        </c:manualLayout>
      </c:layout>
      <c:overlay val="0"/>
      <c:spPr>
        <a:noFill/>
        <a:ln w="25400">
          <a:noFill/>
        </a:ln>
      </c:spPr>
    </c:title>
    <c:autoTitleDeleted val="0"/>
    <c:plotArea>
      <c:layout>
        <c:manualLayout>
          <c:layoutTarget val="inner"/>
          <c:xMode val="edge"/>
          <c:yMode val="edge"/>
          <c:x val="9.9362719998471002E-2"/>
          <c:y val="9.1357015684874476E-2"/>
          <c:w val="0.59307114829083007"/>
          <c:h val="0.74414829363991153"/>
        </c:manualLayout>
      </c:layout>
      <c:pieChart>
        <c:varyColors val="1"/>
        <c:ser>
          <c:idx val="0"/>
          <c:order val="0"/>
          <c:tx>
            <c:strRef>
              <c:f>'Summary Tables &amp; Charts'!$K$209</c:f>
              <c:strCache>
                <c:ptCount val="1"/>
                <c:pt idx="0">
                  <c:v>Graph Labels</c:v>
                </c:pt>
              </c:strCache>
            </c:strRef>
          </c:tx>
          <c:spPr>
            <a:ln>
              <a:noFill/>
            </a:ln>
            <a:effectLst>
              <a:outerShdw blurRad="50800" dist="38100" dir="8100000" algn="tr" rotWithShape="0">
                <a:prstClr val="black">
                  <a:alpha val="40000"/>
                </a:prstClr>
              </a:outerShdw>
            </a:effectLst>
          </c:spPr>
          <c:dPt>
            <c:idx val="0"/>
            <c:bubble3D val="0"/>
            <c:spPr>
              <a:solidFill>
                <a:sysClr val="windowText" lastClr="000000"/>
              </a:solidFill>
              <a:ln>
                <a:noFill/>
              </a:ln>
              <a:effectLst>
                <a:outerShdw blurRad="50800" dist="38100" dir="8100000" algn="tr" rotWithShape="0">
                  <a:prstClr val="black">
                    <a:alpha val="40000"/>
                  </a:prstClr>
                </a:outerShdw>
              </a:effectLst>
            </c:spPr>
          </c:dPt>
          <c:dPt>
            <c:idx val="1"/>
            <c:bubble3D val="0"/>
            <c:spPr>
              <a:solidFill>
                <a:srgbClr val="FFFF00"/>
              </a:solidFill>
              <a:ln>
                <a:noFill/>
              </a:ln>
              <a:effectLst>
                <a:outerShdw blurRad="50800" dist="38100" dir="8100000" algn="tr" rotWithShape="0">
                  <a:prstClr val="black">
                    <a:alpha val="40000"/>
                  </a:prstClr>
                </a:outerShdw>
              </a:effectLst>
            </c:spPr>
          </c:dPt>
          <c:dPt>
            <c:idx val="2"/>
            <c:bubble3D val="0"/>
            <c:spPr>
              <a:solidFill>
                <a:sysClr val="window" lastClr="FFFFFF">
                  <a:lumMod val="75000"/>
                </a:sysClr>
              </a:solidFill>
              <a:ln>
                <a:noFill/>
              </a:ln>
              <a:effectLst>
                <a:outerShdw blurRad="50800" dist="38100" dir="8100000" algn="tr" rotWithShape="0">
                  <a:prstClr val="black">
                    <a:alpha val="40000"/>
                  </a:prstClr>
                </a:outerShdw>
              </a:effectLst>
            </c:spPr>
          </c:dPt>
          <c:dPt>
            <c:idx val="3"/>
            <c:bubble3D val="0"/>
            <c:spPr>
              <a:solidFill>
                <a:srgbClr val="00B050"/>
              </a:solidFill>
              <a:ln>
                <a:noFill/>
              </a:ln>
              <a:effectLst>
                <a:outerShdw blurRad="50800" dist="38100" dir="8100000" algn="tr" rotWithShape="0">
                  <a:prstClr val="black">
                    <a:alpha val="40000"/>
                  </a:prstClr>
                </a:outerShdw>
              </a:effectLst>
            </c:spPr>
          </c:dPt>
          <c:dPt>
            <c:idx val="4"/>
            <c:bubble3D val="0"/>
            <c:spPr>
              <a:solidFill>
                <a:srgbClr val="0070C0"/>
              </a:solidFill>
              <a:ln>
                <a:noFill/>
              </a:ln>
              <a:effectLst>
                <a:outerShdw blurRad="50800" dist="38100" dir="8100000" algn="tr" rotWithShape="0">
                  <a:prstClr val="black">
                    <a:alpha val="40000"/>
                  </a:prstClr>
                </a:outerShdw>
              </a:effectLst>
            </c:spPr>
          </c:dPt>
          <c:dPt>
            <c:idx val="5"/>
            <c:bubble3D val="0"/>
            <c:spPr>
              <a:solidFill>
                <a:srgbClr val="FF0000"/>
              </a:solidFill>
              <a:ln>
                <a:noFill/>
              </a:ln>
              <a:effectLst>
                <a:outerShdw blurRad="50800" dist="38100" dir="8100000" algn="tr" rotWithShape="0">
                  <a:prstClr val="black">
                    <a:alpha val="40000"/>
                  </a:prstClr>
                </a:outerShdw>
              </a:effectLst>
            </c:spPr>
          </c:dPt>
          <c:dLbls>
            <c:dLbl>
              <c:idx val="0"/>
              <c:layout>
                <c:manualLayout>
                  <c:x val="8.8008636403290541E-2"/>
                  <c:y val="-3.5941651385089181E-2"/>
                </c:manualLayout>
              </c:layout>
              <c:tx>
                <c:rich>
                  <a:bodyPr rot="0" spcFirstLastPara="1" vertOverflow="ellipsis" vert="horz" wrap="square" lIns="38100" tIns="19050" rIns="38100" bIns="19050" anchor="ctr" anchorCtr="1">
                    <a:noAutofit/>
                  </a:bodyPr>
                  <a:lstStyle/>
                  <a:p>
                    <a:pPr>
                      <a:defRPr lang="en-US" sz="1000" b="1" i="0" u="none" strike="noStrike" kern="1200" baseline="0">
                        <a:solidFill>
                          <a:schemeClr val="lt1"/>
                        </a:solidFill>
                        <a:latin typeface="+mn-lt"/>
                        <a:ea typeface="+mn-ea"/>
                        <a:cs typeface="+mn-cs"/>
                      </a:defRPr>
                    </a:pPr>
                    <a:fld id="{F276F3E2-F64D-4B59-B4AF-7860FB80C5E5}" type="CELLRANGE">
                      <a:rPr lang="en-US" baseline="0"/>
                      <a:pPr>
                        <a:defRPr lang="en-US" sz="1000" b="1" i="0" u="none" strike="noStrike" kern="1200" baseline="0">
                          <a:solidFill>
                            <a:schemeClr val="lt1"/>
                          </a:solidFill>
                          <a:latin typeface="+mn-lt"/>
                          <a:ea typeface="+mn-ea"/>
                          <a:cs typeface="+mn-cs"/>
                        </a:defRPr>
                      </a:pPr>
                      <a:t>[CELLRANGE]</a:t>
                    </a:fld>
                    <a:r>
                      <a:rPr lang="en-US" baseline="0"/>
                      <a:t>[C</a:t>
                    </a:r>
                    <a:fld id="{18D6F7AD-3398-4E2F-BF84-D15A3051E326}" type="PERCENTAGE">
                      <a:rPr lang="en-US" baseline="0"/>
                      <a:pPr>
                        <a:defRPr lang="en-US" sz="1000" b="1" i="0" u="none" strike="noStrike" kern="1200" baseline="0">
                          <a:solidFill>
                            <a:schemeClr val="lt1"/>
                          </a:solidFill>
                          <a:latin typeface="+mn-lt"/>
                          <a:ea typeface="+mn-ea"/>
                          <a:cs typeface="+mn-cs"/>
                        </a:defRPr>
                      </a:pPr>
                      <a:t>[PERCENTAGE]</a:t>
                    </a:fld>
                    <a:endParaRPr lang="en-US" baseline="0"/>
                  </a:p>
                </c:rich>
              </c:tx>
              <c:numFmt formatCode="0.00%" sourceLinked="0"/>
              <c:spPr>
                <a:pattFill prst="pct75">
                  <a:fgClr>
                    <a:sysClr val="windowText" lastClr="000000">
                      <a:lumMod val="75000"/>
                      <a:lumOff val="25000"/>
                    </a:sysClr>
                  </a:fgClr>
                  <a:bgClr>
                    <a:sysClr val="windowText" lastClr="000000">
                      <a:lumMod val="65000"/>
                      <a:lumOff val="35000"/>
                    </a:sysClr>
                  </a:bgClr>
                </a:pattFill>
                <a:ln>
                  <a:noFill/>
                </a:ln>
                <a:effectLst>
                  <a:outerShdw blurRad="50800" dist="38100" dir="2700000" algn="tl" rotWithShape="0">
                    <a:prstClr val="black">
                      <a:alpha val="40000"/>
                    </a:prstClr>
                  </a:outerShdw>
                </a:effectLst>
              </c:spPr>
              <c:dLblPos val="bestFit"/>
              <c:showLegendKey val="0"/>
              <c:showVal val="0"/>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showDataLabelsRange val="0"/>
                </c:ext>
              </c:extLst>
            </c:dLbl>
            <c:dLbl>
              <c:idx val="1"/>
              <c:layout>
                <c:manualLayout>
                  <c:x val="7.3375826887217194E-2"/>
                  <c:y val="2.0999227572826507E-2"/>
                </c:manualLayout>
              </c:layout>
              <c:tx>
                <c:rich>
                  <a:bodyPr rot="0" spcFirstLastPara="1" vertOverflow="ellipsis" vert="horz" wrap="square" lIns="38100" tIns="19050" rIns="38100" bIns="19050" anchor="ctr" anchorCtr="1">
                    <a:noAutofit/>
                  </a:bodyPr>
                  <a:lstStyle/>
                  <a:p>
                    <a:pPr>
                      <a:defRPr lang="en-US" sz="1000" b="1" i="0" u="none" strike="noStrike" kern="1200" baseline="0">
                        <a:solidFill>
                          <a:schemeClr val="lt1"/>
                        </a:solidFill>
                        <a:latin typeface="+mn-lt"/>
                        <a:ea typeface="+mn-ea"/>
                        <a:cs typeface="+mn-cs"/>
                      </a:defRPr>
                    </a:pPr>
                    <a:fld id="{302D0488-9B93-47E1-946C-1BCD8F5DE872}" type="CELLRANGE">
                      <a:rPr lang="en-US" baseline="0"/>
                      <a:pPr>
                        <a:defRPr lang="en-US" sz="1000" b="1" i="0" u="none" strike="noStrike" kern="1200" baseline="0">
                          <a:solidFill>
                            <a:schemeClr val="lt1"/>
                          </a:solidFill>
                          <a:latin typeface="+mn-lt"/>
                          <a:ea typeface="+mn-ea"/>
                          <a:cs typeface="+mn-cs"/>
                        </a:defRPr>
                      </a:pPr>
                      <a:t>[CELLRANGE]</a:t>
                    </a:fld>
                    <a:r>
                      <a:rPr lang="en-US" baseline="0"/>
                      <a:t>[C</a:t>
                    </a:r>
                    <a:fld id="{217CD76D-0927-44BE-B6B8-44501F27C0B0}" type="PERCENTAGE">
                      <a:rPr lang="en-US" baseline="0"/>
                      <a:pPr>
                        <a:defRPr lang="en-US" sz="1000" b="1" i="0" u="none" strike="noStrike" kern="1200" baseline="0">
                          <a:solidFill>
                            <a:schemeClr val="lt1"/>
                          </a:solidFill>
                          <a:latin typeface="+mn-lt"/>
                          <a:ea typeface="+mn-ea"/>
                          <a:cs typeface="+mn-cs"/>
                        </a:defRPr>
                      </a:pPr>
                      <a:t>[PERCENTAGE]</a:t>
                    </a:fld>
                    <a:endParaRPr lang="en-US" baseline="0"/>
                  </a:p>
                </c:rich>
              </c:tx>
              <c:numFmt formatCode="0.00%" sourceLinked="0"/>
              <c:spPr>
                <a:pattFill prst="pct75">
                  <a:fgClr>
                    <a:sysClr val="windowText" lastClr="000000">
                      <a:lumMod val="75000"/>
                      <a:lumOff val="25000"/>
                    </a:sysClr>
                  </a:fgClr>
                  <a:bgClr>
                    <a:sysClr val="windowText" lastClr="000000">
                      <a:lumMod val="65000"/>
                      <a:lumOff val="35000"/>
                    </a:sysClr>
                  </a:bgClr>
                </a:pattFill>
                <a:ln>
                  <a:noFill/>
                </a:ln>
                <a:effectLst>
                  <a:outerShdw blurRad="50800" dist="38100" dir="2700000" algn="tl" rotWithShape="0">
                    <a:prstClr val="black">
                      <a:alpha val="40000"/>
                    </a:prstClr>
                  </a:outerShdw>
                </a:effectLst>
              </c:spPr>
              <c:dLblPos val="bestFit"/>
              <c:showLegendKey val="0"/>
              <c:showVal val="0"/>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showDataLabelsRange val="0"/>
                </c:ext>
              </c:extLst>
            </c:dLbl>
            <c:dLbl>
              <c:idx val="2"/>
              <c:layout>
                <c:manualLayout>
                  <c:x val="5.6776120912112073E-2"/>
                  <c:y val="6.5555356571645615E-2"/>
                </c:manualLayout>
              </c:layout>
              <c:tx>
                <c:rich>
                  <a:bodyPr rot="0" spcFirstLastPara="1" vertOverflow="ellipsis" vert="horz" wrap="square" lIns="38100" tIns="19050" rIns="38100" bIns="19050" anchor="ctr" anchorCtr="1">
                    <a:noAutofit/>
                  </a:bodyPr>
                  <a:lstStyle/>
                  <a:p>
                    <a:pPr>
                      <a:defRPr lang="en-US" sz="1000" b="1" i="0" u="none" strike="noStrike" kern="1200" baseline="0">
                        <a:solidFill>
                          <a:schemeClr val="lt1"/>
                        </a:solidFill>
                        <a:latin typeface="+mn-lt"/>
                        <a:ea typeface="+mn-ea"/>
                        <a:cs typeface="+mn-cs"/>
                      </a:defRPr>
                    </a:pPr>
                    <a:fld id="{7678F108-06B4-4C4E-92C5-72DF2475B311}" type="CELLRANGE">
                      <a:rPr lang="en-US" baseline="0"/>
                      <a:pPr>
                        <a:defRPr lang="en-US" sz="1000" b="1" i="0" u="none" strike="noStrike" kern="1200" baseline="0">
                          <a:solidFill>
                            <a:schemeClr val="lt1"/>
                          </a:solidFill>
                          <a:latin typeface="+mn-lt"/>
                          <a:ea typeface="+mn-ea"/>
                          <a:cs typeface="+mn-cs"/>
                        </a:defRPr>
                      </a:pPr>
                      <a:t>[CELLRANGE]</a:t>
                    </a:fld>
                    <a:r>
                      <a:rPr lang="en-US" baseline="0"/>
                      <a:t>[C</a:t>
                    </a:r>
                    <a:fld id="{07C6E73B-0246-4358-9084-345150FACBD2}" type="PERCENTAGE">
                      <a:rPr lang="en-US" baseline="0"/>
                      <a:pPr>
                        <a:defRPr lang="en-US" sz="1000" b="1" i="0" u="none" strike="noStrike" kern="1200" baseline="0">
                          <a:solidFill>
                            <a:schemeClr val="lt1"/>
                          </a:solidFill>
                          <a:latin typeface="+mn-lt"/>
                          <a:ea typeface="+mn-ea"/>
                          <a:cs typeface="+mn-cs"/>
                        </a:defRPr>
                      </a:pPr>
                      <a:t>[PERCENTAGE]</a:t>
                    </a:fld>
                    <a:endParaRPr lang="en-US" baseline="0"/>
                  </a:p>
                </c:rich>
              </c:tx>
              <c:numFmt formatCode="0.00%" sourceLinked="0"/>
              <c:spPr>
                <a:pattFill prst="pct75">
                  <a:fgClr>
                    <a:sysClr val="windowText" lastClr="000000">
                      <a:lumMod val="75000"/>
                      <a:lumOff val="25000"/>
                    </a:sysClr>
                  </a:fgClr>
                  <a:bgClr>
                    <a:sysClr val="windowText" lastClr="000000">
                      <a:lumMod val="65000"/>
                      <a:lumOff val="35000"/>
                    </a:sysClr>
                  </a:bgClr>
                </a:pattFill>
                <a:ln>
                  <a:noFill/>
                </a:ln>
                <a:effectLst>
                  <a:outerShdw blurRad="50800" dist="38100" dir="2700000" algn="tl" rotWithShape="0">
                    <a:prstClr val="black">
                      <a:alpha val="40000"/>
                    </a:prstClr>
                  </a:outerShdw>
                </a:effectLst>
              </c:spPr>
              <c:dLblPos val="bestFit"/>
              <c:showLegendKey val="0"/>
              <c:showVal val="0"/>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showDataLabelsRange val="0"/>
                </c:ext>
              </c:extLst>
            </c:dLbl>
            <c:dLbl>
              <c:idx val="3"/>
              <c:layout>
                <c:manualLayout>
                  <c:x val="-0.17521320016454389"/>
                  <c:y val="5.9120955637149669E-2"/>
                </c:manualLayout>
              </c:layout>
              <c:tx>
                <c:rich>
                  <a:bodyPr rot="0" spcFirstLastPara="1" vertOverflow="ellipsis" vert="horz" wrap="square" lIns="38100" tIns="19050" rIns="38100" bIns="19050" anchor="ctr" anchorCtr="1">
                    <a:noAutofit/>
                  </a:bodyPr>
                  <a:lstStyle/>
                  <a:p>
                    <a:pPr>
                      <a:defRPr lang="en-US" sz="1000" b="1" i="0" u="none" strike="noStrike" kern="1200" baseline="0">
                        <a:solidFill>
                          <a:schemeClr val="lt1"/>
                        </a:solidFill>
                        <a:latin typeface="+mn-lt"/>
                        <a:ea typeface="+mn-ea"/>
                        <a:cs typeface="+mn-cs"/>
                      </a:defRPr>
                    </a:pPr>
                    <a:fld id="{EDE85F76-1C3D-48E7-8ACB-4E456DDEA784}" type="CELLRANGE">
                      <a:rPr lang="en-US" baseline="0"/>
                      <a:pPr>
                        <a:defRPr lang="en-US" sz="1000" b="1" i="0" u="none" strike="noStrike" kern="1200" baseline="0">
                          <a:solidFill>
                            <a:schemeClr val="lt1"/>
                          </a:solidFill>
                          <a:latin typeface="+mn-lt"/>
                          <a:ea typeface="+mn-ea"/>
                          <a:cs typeface="+mn-cs"/>
                        </a:defRPr>
                      </a:pPr>
                      <a:t>[CELLRANGE]</a:t>
                    </a:fld>
                    <a:r>
                      <a:rPr lang="en-US" baseline="0"/>
                      <a:t>[C</a:t>
                    </a:r>
                    <a:fld id="{EC03F361-8511-4ABD-A1F0-B580878398DC}" type="PERCENTAGE">
                      <a:rPr lang="en-US" baseline="0"/>
                      <a:pPr>
                        <a:defRPr lang="en-US" sz="1000" b="1" i="0" u="none" strike="noStrike" kern="1200" baseline="0">
                          <a:solidFill>
                            <a:schemeClr val="lt1"/>
                          </a:solidFill>
                          <a:latin typeface="+mn-lt"/>
                          <a:ea typeface="+mn-ea"/>
                          <a:cs typeface="+mn-cs"/>
                        </a:defRPr>
                      </a:pPr>
                      <a:t>[PERCENTAGE]</a:t>
                    </a:fld>
                    <a:endParaRPr lang="en-US" baseline="0"/>
                  </a:p>
                </c:rich>
              </c:tx>
              <c:numFmt formatCode="0.00%" sourceLinked="0"/>
              <c:spPr>
                <a:pattFill prst="pct75">
                  <a:fgClr>
                    <a:sysClr val="windowText" lastClr="000000">
                      <a:lumMod val="75000"/>
                      <a:lumOff val="25000"/>
                    </a:sysClr>
                  </a:fgClr>
                  <a:bgClr>
                    <a:sysClr val="windowText" lastClr="000000">
                      <a:lumMod val="65000"/>
                      <a:lumOff val="35000"/>
                    </a:sysClr>
                  </a:bgClr>
                </a:pattFill>
                <a:ln>
                  <a:noFill/>
                </a:ln>
                <a:effectLst>
                  <a:outerShdw blurRad="50800" dist="38100" dir="2700000" algn="tl" rotWithShape="0">
                    <a:prstClr val="black">
                      <a:alpha val="40000"/>
                    </a:prstClr>
                  </a:outerShdw>
                </a:effectLst>
              </c:spPr>
              <c:dLblPos val="bestFit"/>
              <c:showLegendKey val="0"/>
              <c:showVal val="0"/>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showDataLabelsRange val="0"/>
                </c:ext>
              </c:extLst>
            </c:dLbl>
            <c:dLbl>
              <c:idx val="4"/>
              <c:layout>
                <c:manualLayout>
                  <c:x val="-0.16212522846424857"/>
                  <c:y val="-0.14414914458622163"/>
                </c:manualLayout>
              </c:layout>
              <c:tx>
                <c:rich>
                  <a:bodyPr rot="0" spcFirstLastPara="1" vertOverflow="ellipsis" vert="horz" wrap="square" lIns="38100" tIns="19050" rIns="38100" bIns="19050" anchor="ctr" anchorCtr="1">
                    <a:noAutofit/>
                  </a:bodyPr>
                  <a:lstStyle/>
                  <a:p>
                    <a:pPr>
                      <a:defRPr lang="en-US" sz="1000" b="1" i="0" u="none" strike="noStrike" kern="1200" baseline="0">
                        <a:solidFill>
                          <a:schemeClr val="lt1"/>
                        </a:solidFill>
                        <a:latin typeface="+mn-lt"/>
                        <a:ea typeface="+mn-ea"/>
                        <a:cs typeface="+mn-cs"/>
                      </a:defRPr>
                    </a:pPr>
                    <a:fld id="{AD46E4CA-AC0F-4F92-A14D-4DA98B81A236}" type="CELLRANGE">
                      <a:rPr lang="en-US" baseline="0"/>
                      <a:pPr>
                        <a:defRPr lang="en-US" sz="1000" b="1" i="0" u="none" strike="noStrike" kern="1200" baseline="0">
                          <a:solidFill>
                            <a:schemeClr val="lt1"/>
                          </a:solidFill>
                          <a:latin typeface="+mn-lt"/>
                          <a:ea typeface="+mn-ea"/>
                          <a:cs typeface="+mn-cs"/>
                        </a:defRPr>
                      </a:pPr>
                      <a:t>[CELLRANGE]</a:t>
                    </a:fld>
                    <a:r>
                      <a:rPr lang="en-US" baseline="0"/>
                      <a:t>[C</a:t>
                    </a:r>
                    <a:fld id="{A4DA0B7D-DC96-409D-A959-2FA70ABD8EB9}" type="PERCENTAGE">
                      <a:rPr lang="en-US" baseline="0"/>
                      <a:pPr>
                        <a:defRPr lang="en-US" sz="1000" b="1" i="0" u="none" strike="noStrike" kern="1200" baseline="0">
                          <a:solidFill>
                            <a:schemeClr val="lt1"/>
                          </a:solidFill>
                          <a:latin typeface="+mn-lt"/>
                          <a:ea typeface="+mn-ea"/>
                          <a:cs typeface="+mn-cs"/>
                        </a:defRPr>
                      </a:pPr>
                      <a:t>[PERCENTAGE]</a:t>
                    </a:fld>
                    <a:endParaRPr lang="en-US" baseline="0"/>
                  </a:p>
                </c:rich>
              </c:tx>
              <c:numFmt formatCode="0.00%" sourceLinked="0"/>
              <c:spPr>
                <a:pattFill prst="pct75">
                  <a:fgClr>
                    <a:sysClr val="windowText" lastClr="000000">
                      <a:lumMod val="75000"/>
                      <a:lumOff val="25000"/>
                    </a:sysClr>
                  </a:fgClr>
                  <a:bgClr>
                    <a:sysClr val="windowText" lastClr="000000">
                      <a:lumMod val="65000"/>
                      <a:lumOff val="35000"/>
                    </a:sysClr>
                  </a:bgClr>
                </a:pattFill>
                <a:ln>
                  <a:noFill/>
                </a:ln>
                <a:effectLst>
                  <a:outerShdw blurRad="50800" dist="38100" dir="2700000" algn="tl" rotWithShape="0">
                    <a:prstClr val="black">
                      <a:alpha val="40000"/>
                    </a:prstClr>
                  </a:outerShdw>
                </a:effectLst>
              </c:spPr>
              <c:dLblPos val="bestFit"/>
              <c:showLegendKey val="0"/>
              <c:showVal val="0"/>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showDataLabelsRange val="0"/>
                </c:ext>
              </c:extLst>
            </c:dLbl>
            <c:dLbl>
              <c:idx val="5"/>
              <c:layout>
                <c:manualLayout>
                  <c:x val="0.17436542503983579"/>
                  <c:y val="4.7868534210169095E-2"/>
                </c:manualLayout>
              </c:layout>
              <c:tx>
                <c:rich>
                  <a:bodyPr rot="0" spcFirstLastPara="1" vertOverflow="ellipsis" vert="horz" wrap="square" lIns="38100" tIns="19050" rIns="38100" bIns="19050" anchor="ctr" anchorCtr="1">
                    <a:noAutofit/>
                  </a:bodyPr>
                  <a:lstStyle/>
                  <a:p>
                    <a:pPr>
                      <a:defRPr lang="en-US" sz="1000" b="1" i="0" u="none" strike="noStrike" kern="1200" baseline="0">
                        <a:solidFill>
                          <a:schemeClr val="lt1"/>
                        </a:solidFill>
                        <a:latin typeface="+mn-lt"/>
                        <a:ea typeface="+mn-ea"/>
                        <a:cs typeface="+mn-cs"/>
                      </a:defRPr>
                    </a:pPr>
                    <a:fld id="{493373C4-E513-481E-B8EB-EAC65540FB06}" type="CELLRANGE">
                      <a:rPr lang="en-US" baseline="0"/>
                      <a:pPr>
                        <a:defRPr lang="en-US" sz="1000" b="1" i="0" u="none" strike="noStrike" kern="1200" baseline="0">
                          <a:solidFill>
                            <a:schemeClr val="lt1"/>
                          </a:solidFill>
                          <a:latin typeface="+mn-lt"/>
                          <a:ea typeface="+mn-ea"/>
                          <a:cs typeface="+mn-cs"/>
                        </a:defRPr>
                      </a:pPr>
                      <a:t>[CELLRANGE]</a:t>
                    </a:fld>
                    <a:r>
                      <a:rPr lang="en-US" baseline="0"/>
                      <a:t>[C</a:t>
                    </a:r>
                    <a:fld id="{0E1BB550-748B-47FD-B56E-5331B9345256}" type="PERCENTAGE">
                      <a:rPr lang="en-US" baseline="0"/>
                      <a:pPr>
                        <a:defRPr lang="en-US" sz="1000" b="1" i="0" u="none" strike="noStrike" kern="1200" baseline="0">
                          <a:solidFill>
                            <a:schemeClr val="lt1"/>
                          </a:solidFill>
                          <a:latin typeface="+mn-lt"/>
                          <a:ea typeface="+mn-ea"/>
                          <a:cs typeface="+mn-cs"/>
                        </a:defRPr>
                      </a:pPr>
                      <a:t>[PERCENTAGE]</a:t>
                    </a:fld>
                    <a:endParaRPr lang="en-US" baseline="0"/>
                  </a:p>
                </c:rich>
              </c:tx>
              <c:numFmt formatCode="0.00%" sourceLinked="0"/>
              <c:spPr>
                <a:pattFill prst="pct75">
                  <a:fgClr>
                    <a:sysClr val="windowText" lastClr="000000">
                      <a:lumMod val="75000"/>
                      <a:lumOff val="25000"/>
                    </a:sysClr>
                  </a:fgClr>
                  <a:bgClr>
                    <a:sysClr val="windowText" lastClr="000000">
                      <a:lumMod val="65000"/>
                      <a:lumOff val="35000"/>
                    </a:sysClr>
                  </a:bgClr>
                </a:pattFill>
                <a:ln>
                  <a:noFill/>
                </a:ln>
                <a:effectLst>
                  <a:outerShdw blurRad="50800" dist="38100" dir="2700000" algn="tl" rotWithShape="0">
                    <a:prstClr val="black">
                      <a:alpha val="40000"/>
                    </a:prstClr>
                  </a:outerShdw>
                </a:effectLst>
              </c:spPr>
              <c:dLblPos val="bestFit"/>
              <c:showLegendKey val="0"/>
              <c:showVal val="0"/>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showDataLabelsRange val="0"/>
                </c:ext>
              </c:extLst>
            </c:dLbl>
            <c:numFmt formatCode="0.00%" sourceLinked="0"/>
            <c:spPr>
              <a:pattFill prst="pct75">
                <a:fgClr>
                  <a:sysClr val="windowText" lastClr="000000">
                    <a:lumMod val="75000"/>
                    <a:lumOff val="25000"/>
                  </a:sysClr>
                </a:fgClr>
                <a:bgClr>
                  <a:sysClr val="windowText" lastClr="000000">
                    <a:lumMod val="65000"/>
                    <a:lumOff val="35000"/>
                  </a:sysClr>
                </a:bgClr>
              </a:pattFill>
              <a:ln>
                <a:noFill/>
              </a:ln>
              <a:effectLst>
                <a:outerShdw blurRad="50800" dist="38100" dir="2700000" algn="tl" rotWithShape="0">
                  <a:prstClr val="black">
                    <a:alpha val="40000"/>
                  </a:prstClr>
                </a:outerShdw>
              </a:effectLst>
            </c:spPr>
            <c:txPr>
              <a:bodyPr rot="0" spcFirstLastPara="1" vertOverflow="ellipsis" vert="horz" wrap="square" lIns="38100" tIns="19050" rIns="38100" bIns="19050" anchor="ctr" anchorCtr="1">
                <a:spAutoFit/>
              </a:bodyPr>
              <a:lstStyle/>
              <a:p>
                <a:pPr>
                  <a:defRPr lang="en-US" sz="1000" b="1" i="0" u="none" strike="noStrike" kern="1200" baseline="0">
                    <a:solidFill>
                      <a:schemeClr val="lt1"/>
                    </a:solidFill>
                    <a:latin typeface="+mn-lt"/>
                    <a:ea typeface="+mn-ea"/>
                    <a:cs typeface="+mn-cs"/>
                  </a:defRPr>
                </a:pPr>
                <a:endParaRPr lang="en-US"/>
              </a:p>
            </c:txPr>
            <c:showLegendKey val="0"/>
            <c:showVal val="0"/>
            <c:showCatName val="0"/>
            <c:showSerName val="0"/>
            <c:showPercent val="1"/>
            <c:showBubbleSize val="0"/>
            <c:showLeaderLines val="1"/>
            <c:leaderLines>
              <c:spPr>
                <a:ln w="9525">
                  <a:solidFill>
                    <a:schemeClr val="dk1">
                      <a:lumMod val="50000"/>
                      <a:lumOff val="50000"/>
                    </a:schemeClr>
                  </a:solidFill>
                </a:ln>
                <a:effectLst/>
              </c:spPr>
            </c:leaderLines>
            <c:extLst>
              <c:ext xmlns:c15="http://schemas.microsoft.com/office/drawing/2012/chart" uri="{CE6537A1-D6FC-4f65-9D91-7224C49458BB}"/>
            </c:extLst>
          </c:dLbls>
          <c:cat>
            <c:strRef>
              <c:f>'Summary Tables &amp; Charts'!$C$261:$C$266</c:f>
              <c:strCache>
                <c:ptCount val="6"/>
                <c:pt idx="0">
                  <c:v>Others</c:v>
                </c:pt>
                <c:pt idx="1">
                  <c:v>Governance improved</c:v>
                </c:pt>
                <c:pt idx="2">
                  <c:v>Safer environment created</c:v>
                </c:pt>
                <c:pt idx="3">
                  <c:v>Environmental quality improved</c:v>
                </c:pt>
                <c:pt idx="4">
                  <c:v>Basic infrastructure services enhanced</c:v>
                </c:pt>
                <c:pt idx="5">
                  <c:v>Competitiveness enhanced </c:v>
                </c:pt>
              </c:strCache>
            </c:strRef>
          </c:cat>
          <c:val>
            <c:numRef>
              <c:f>'Summary Tables &amp; Charts'!$K$261:$K$266</c:f>
              <c:numCache>
                <c:formatCode>_(* #,##0.00_);_(* \(#,##0.00\);_(* "-"??_);_(@_)</c:formatCode>
                <c:ptCount val="6"/>
                <c:pt idx="0">
                  <c:v>0</c:v>
                </c:pt>
                <c:pt idx="1">
                  <c:v>0</c:v>
                </c:pt>
                <c:pt idx="2">
                  <c:v>0</c:v>
                </c:pt>
                <c:pt idx="3">
                  <c:v>0</c:v>
                </c:pt>
                <c:pt idx="4">
                  <c:v>0</c:v>
                </c:pt>
                <c:pt idx="5">
                  <c:v>0</c:v>
                </c:pt>
              </c:numCache>
            </c:numRef>
          </c:val>
        </c:ser>
        <c:dLbls>
          <c:showLegendKey val="0"/>
          <c:showVal val="0"/>
          <c:showCatName val="0"/>
          <c:showSerName val="0"/>
          <c:showPercent val="1"/>
          <c:showBubbleSize val="0"/>
          <c:showLeaderLines val="1"/>
        </c:dLbls>
        <c:firstSliceAng val="42"/>
      </c:pieChart>
      <c:spPr>
        <a:solidFill>
          <a:schemeClr val="lt1"/>
        </a:solidFill>
        <a:ln w="12700" cap="flat" cmpd="sng" algn="ctr">
          <a:noFill/>
          <a:prstDash val="solid"/>
          <a:miter lim="800000"/>
        </a:ln>
        <a:effectLst/>
      </c:spPr>
    </c:plotArea>
    <c:legend>
      <c:legendPos val="r"/>
      <c:layout>
        <c:manualLayout>
          <c:xMode val="edge"/>
          <c:yMode val="edge"/>
          <c:x val="0.13238797428957388"/>
          <c:y val="0.8494797813209557"/>
          <c:w val="0.84160926512657686"/>
          <c:h val="0.1013414475961842"/>
        </c:manualLayout>
      </c:layout>
      <c:overlay val="0"/>
      <c:spPr>
        <a:solidFill>
          <a:schemeClr val="bg1">
            <a:lumMod val="85000"/>
          </a:schemeClr>
        </a:solidFill>
        <a:ln>
          <a:solidFill>
            <a:schemeClr val="tx1"/>
          </a:solidFill>
        </a:ln>
        <a:effectLst/>
      </c:spPr>
      <c:txPr>
        <a:bodyPr rot="0" spcFirstLastPara="1" vertOverflow="ellipsis" vert="horz" wrap="square" anchor="b" anchorCtr="0"/>
        <a:lstStyle/>
        <a:p>
          <a:pPr>
            <a:defRPr lang="en-US" sz="900" b="0" i="0" u="none" strike="noStrike" kern="1200" baseline="0">
              <a:solidFill>
                <a:schemeClr val="dk1">
                  <a:lumMod val="75000"/>
                  <a:lumOff val="25000"/>
                </a:schemeClr>
              </a:solidFill>
              <a:latin typeface="+mn-lt"/>
              <a:ea typeface="+mn-ea"/>
              <a:cs typeface="+mn-cs"/>
            </a:defRPr>
          </a:pPr>
          <a:endParaRPr lang="en-US"/>
        </a:p>
      </c:txPr>
    </c:legend>
    <c:plotVisOnly val="1"/>
    <c:dispBlanksAs val="zero"/>
    <c:showDLblsOverMax val="0"/>
  </c:chart>
  <c:spPr>
    <a:noFill/>
    <a:ln w="6350">
      <a:noFill/>
    </a:ln>
  </c:spPr>
  <c:txPr>
    <a:bodyPr/>
    <a:lstStyle/>
    <a:p>
      <a:pPr>
        <a:defRPr/>
      </a:pPr>
      <a:endParaRPr lang="en-US"/>
    </a:p>
  </c:txPr>
  <c:printSettings>
    <c:headerFooter/>
    <c:pageMargins b="0.75000000000000022" l="0.70000000000000018" r="0.70000000000000018" t="0.75000000000000022" header="0.3000000000000001" footer="0.3000000000000001"/>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t" anchorCtr="1"/>
          <a:lstStyle/>
          <a:p>
            <a:pPr algn="l">
              <a:defRPr lang="en-US" sz="1800" b="1" i="0" u="none" strike="noStrike" kern="1200" baseline="0">
                <a:solidFill>
                  <a:sysClr val="windowText" lastClr="000000"/>
                </a:solidFill>
                <a:latin typeface="+mn-lt"/>
                <a:ea typeface="+mn-ea"/>
                <a:cs typeface="+mn-cs"/>
              </a:defRPr>
            </a:pPr>
            <a:r>
              <a:rPr lang="en-US" sz="1100" b="0" i="1" u="none" baseline="0">
                <a:solidFill>
                  <a:sysClr val="windowText" lastClr="000000"/>
                </a:solidFill>
                <a:effectLst/>
              </a:rPr>
              <a:t>Total Infrastructure Investment of PhP7.27 trillion; </a:t>
            </a:r>
          </a:p>
          <a:p>
            <a:pPr algn="l">
              <a:defRPr lang="en-US" sz="1800" b="1" i="0" u="none" strike="noStrike" kern="1200" baseline="0">
                <a:solidFill>
                  <a:sysClr val="windowText" lastClr="000000"/>
                </a:solidFill>
                <a:latin typeface="+mn-lt"/>
                <a:ea typeface="+mn-ea"/>
                <a:cs typeface="+mn-cs"/>
              </a:defRPr>
            </a:pPr>
            <a:r>
              <a:rPr lang="en-US" sz="1100" b="0" i="1" u="none" strike="noStrike" baseline="0">
                <a:solidFill>
                  <a:sysClr val="windowText" lastClr="000000"/>
                </a:solidFill>
                <a:effectLst/>
              </a:rPr>
              <a:t>Years: 2013-2016 and Beyond</a:t>
            </a:r>
            <a:endParaRPr lang="en-US" sz="1100" i="1" u="none">
              <a:solidFill>
                <a:sysClr val="windowText" lastClr="000000"/>
              </a:solidFill>
              <a:effectLst/>
            </a:endParaRPr>
          </a:p>
        </c:rich>
      </c:tx>
      <c:layout>
        <c:manualLayout>
          <c:xMode val="edge"/>
          <c:yMode val="edge"/>
          <c:x val="3.0663817296062035E-2"/>
          <c:y val="2.4364725167476807E-2"/>
        </c:manualLayout>
      </c:layout>
      <c:overlay val="0"/>
      <c:spPr>
        <a:noFill/>
        <a:ln w="25400">
          <a:noFill/>
        </a:ln>
      </c:spPr>
    </c:title>
    <c:autoTitleDeleted val="0"/>
    <c:plotArea>
      <c:layout>
        <c:manualLayout>
          <c:layoutTarget val="inner"/>
          <c:xMode val="edge"/>
          <c:yMode val="edge"/>
          <c:x val="0.14975597067847121"/>
          <c:y val="0.11976366635434414"/>
          <c:w val="0.7086369647872599"/>
          <c:h val="0.76421008890843778"/>
        </c:manualLayout>
      </c:layout>
      <c:pieChart>
        <c:varyColors val="1"/>
        <c:ser>
          <c:idx val="0"/>
          <c:order val="0"/>
          <c:tx>
            <c:strRef>
              <c:f>'Summary Tables &amp; Charts'!$K$302</c:f>
              <c:strCache>
                <c:ptCount val="1"/>
                <c:pt idx="0">
                  <c:v>Investment Cost
(in Thousand PhP)</c:v>
                </c:pt>
              </c:strCache>
            </c:strRef>
          </c:tx>
          <c:spPr>
            <a:ln>
              <a:solidFill>
                <a:sysClr val="windowText" lastClr="000000"/>
              </a:solidFill>
            </a:ln>
            <a:effectLst/>
          </c:spPr>
          <c:dPt>
            <c:idx val="0"/>
            <c:bubble3D val="0"/>
            <c:spPr>
              <a:pattFill prst="pct80">
                <a:fgClr>
                  <a:sysClr val="windowText" lastClr="000000"/>
                </a:fgClr>
                <a:bgClr>
                  <a:sysClr val="window" lastClr="FFFFFF"/>
                </a:bgClr>
              </a:pattFill>
              <a:ln>
                <a:solidFill>
                  <a:sysClr val="windowText" lastClr="000000"/>
                </a:solidFill>
              </a:ln>
              <a:effectLst/>
            </c:spPr>
          </c:dPt>
          <c:dPt>
            <c:idx val="1"/>
            <c:bubble3D val="0"/>
            <c:spPr>
              <a:pattFill prst="ltDnDiag">
                <a:fgClr>
                  <a:sysClr val="windowText" lastClr="000000"/>
                </a:fgClr>
                <a:bgClr>
                  <a:sysClr val="window" lastClr="FFFFFF"/>
                </a:bgClr>
              </a:pattFill>
              <a:ln>
                <a:solidFill>
                  <a:sysClr val="windowText" lastClr="000000"/>
                </a:solidFill>
              </a:ln>
              <a:effectLst/>
            </c:spPr>
          </c:dPt>
          <c:dPt>
            <c:idx val="2"/>
            <c:bubble3D val="0"/>
            <c:spPr>
              <a:solidFill>
                <a:srgbClr val="E7E6E6">
                  <a:lumMod val="50000"/>
                </a:srgbClr>
              </a:solidFill>
              <a:ln>
                <a:solidFill>
                  <a:sysClr val="windowText" lastClr="000000"/>
                </a:solidFill>
              </a:ln>
              <a:effectLst/>
            </c:spPr>
          </c:dPt>
          <c:dPt>
            <c:idx val="3"/>
            <c:bubble3D val="0"/>
            <c:spPr>
              <a:solidFill>
                <a:srgbClr val="E7E6E6">
                  <a:lumMod val="90000"/>
                </a:srgbClr>
              </a:solidFill>
              <a:ln>
                <a:solidFill>
                  <a:sysClr val="windowText" lastClr="000000"/>
                </a:solidFill>
              </a:ln>
              <a:effectLst/>
            </c:spPr>
          </c:dPt>
          <c:dPt>
            <c:idx val="4"/>
            <c:bubble3D val="0"/>
            <c:spPr>
              <a:solidFill>
                <a:sysClr val="windowText" lastClr="000000"/>
              </a:solidFill>
              <a:ln>
                <a:solidFill>
                  <a:sysClr val="windowText" lastClr="000000"/>
                </a:solidFill>
              </a:ln>
              <a:effectLst/>
            </c:spPr>
          </c:dPt>
          <c:dPt>
            <c:idx val="5"/>
            <c:bubble3D val="0"/>
            <c:spPr>
              <a:solidFill>
                <a:sysClr val="window" lastClr="FFFFFF"/>
              </a:solidFill>
              <a:ln>
                <a:solidFill>
                  <a:sysClr val="windowText" lastClr="000000"/>
                </a:solidFill>
              </a:ln>
              <a:effectLst/>
            </c:spPr>
          </c:dPt>
          <c:dLbls>
            <c:dLbl>
              <c:idx val="0"/>
              <c:layout>
                <c:manualLayout>
                  <c:x val="0.12199695992791468"/>
                  <c:y val="-2.854968148527548E-2"/>
                </c:manualLayout>
              </c:layout>
              <c:tx>
                <c:rich>
                  <a:bodyPr/>
                  <a:lstStyle/>
                  <a:p>
                    <a:fld id="{7CECDB43-2116-4653-8281-B85EFB80A6E2}" type="CELLRANGE">
                      <a:rPr lang="en-US" baseline="0"/>
                      <a:pPr/>
                      <a:t>[CELLRANGE]</a:t>
                    </a:fld>
                    <a:r>
                      <a:rPr lang="en-US" baseline="0"/>
                      <a:t>[C</a:t>
                    </a:r>
                    <a:fld id="{18F95D65-972F-4DAF-9C7D-FC1BC72B4459}" type="PERCENTAGE">
                      <a:rPr lang="en-US" baseline="0"/>
                      <a:pPr/>
                      <a:t>[PERCENTAGE]</a:t>
                    </a:fld>
                    <a:endParaRPr lang="en-US" baseline="0"/>
                  </a:p>
                </c:rich>
              </c:tx>
              <c:dLblPos val="bestFit"/>
              <c:showLegendKey val="0"/>
              <c:showVal val="0"/>
              <c:showCatName val="0"/>
              <c:showSerName val="0"/>
              <c:showPercent val="0"/>
              <c:showBubbleSize val="0"/>
              <c:extLst>
                <c:ext xmlns:c15="http://schemas.microsoft.com/office/drawing/2012/chart" uri="{CE6537A1-D6FC-4f65-9D91-7224C49458BB}">
                  <c15:dlblFieldTable/>
                  <c15:showDataLabelsRange val="0"/>
                </c:ext>
              </c:extLst>
            </c:dLbl>
            <c:dLbl>
              <c:idx val="1"/>
              <c:layout>
                <c:manualLayout>
                  <c:x val="6.3822136032605323E-2"/>
                  <c:y val="5.9090523829982505E-2"/>
                </c:manualLayout>
              </c:layout>
              <c:tx>
                <c:rich>
                  <a:bodyPr rot="0" spcFirstLastPara="1" vertOverflow="ellipsis" vert="horz" wrap="square" lIns="38100" tIns="19050" rIns="38100" bIns="19050" anchor="ctr" anchorCtr="1">
                    <a:noAutofit/>
                  </a:bodyPr>
                  <a:lstStyle/>
                  <a:p>
                    <a:pPr>
                      <a:defRPr lang="en-US" sz="1000" b="1" i="0" u="none" strike="noStrike" kern="1200" baseline="0">
                        <a:solidFill>
                          <a:schemeClr val="lt1"/>
                        </a:solidFill>
                        <a:latin typeface="+mn-lt"/>
                        <a:ea typeface="+mn-ea"/>
                        <a:cs typeface="+mn-cs"/>
                      </a:defRPr>
                    </a:pPr>
                    <a:fld id="{455FD747-926A-4585-8AD9-05F21200F079}" type="CELLRANGE">
                      <a:rPr lang="en-US" baseline="0"/>
                      <a:pPr>
                        <a:defRPr lang="en-US" sz="1000" b="1" i="0" u="none" strike="noStrike" kern="1200" baseline="0">
                          <a:solidFill>
                            <a:schemeClr val="lt1"/>
                          </a:solidFill>
                          <a:latin typeface="+mn-lt"/>
                          <a:ea typeface="+mn-ea"/>
                          <a:cs typeface="+mn-cs"/>
                        </a:defRPr>
                      </a:pPr>
                      <a:t>[CELLRANGE]</a:t>
                    </a:fld>
                    <a:r>
                      <a:rPr lang="en-US" baseline="0"/>
                      <a:t>[C</a:t>
                    </a:r>
                    <a:fld id="{C88E420F-74A1-42D5-9477-241FD50AFFD6}" type="PERCENTAGE">
                      <a:rPr lang="en-US" baseline="0"/>
                      <a:pPr>
                        <a:defRPr lang="en-US" sz="1000" b="1" i="0" u="none" strike="noStrike" kern="1200" baseline="0">
                          <a:solidFill>
                            <a:schemeClr val="lt1"/>
                          </a:solidFill>
                          <a:latin typeface="+mn-lt"/>
                          <a:ea typeface="+mn-ea"/>
                          <a:cs typeface="+mn-cs"/>
                        </a:defRPr>
                      </a:pPr>
                      <a:t>[PERCENTAGE]</a:t>
                    </a:fld>
                    <a:endParaRPr lang="en-US" baseline="0"/>
                  </a:p>
                </c:rich>
              </c:tx>
              <c:numFmt formatCode="0.00%" sourceLinked="0"/>
              <c:spPr>
                <a:solidFill>
                  <a:schemeClr val="tx1">
                    <a:lumMod val="65000"/>
                    <a:lumOff val="35000"/>
                  </a:schemeClr>
                </a:solidFill>
                <a:ln>
                  <a:noFill/>
                </a:ln>
                <a:effectLst>
                  <a:outerShdw blurRad="50800" dist="38100" dir="2700000" algn="tl" rotWithShape="0">
                    <a:prstClr val="black">
                      <a:alpha val="40000"/>
                    </a:prstClr>
                  </a:outerShdw>
                </a:effectLst>
              </c:spPr>
              <c:dLblPos val="bestFit"/>
              <c:showLegendKey val="0"/>
              <c:showVal val="0"/>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showDataLabelsRange val="0"/>
                </c:ext>
              </c:extLst>
            </c:dLbl>
            <c:dLbl>
              <c:idx val="2"/>
              <c:layout>
                <c:manualLayout>
                  <c:x val="-0.19027150847273838"/>
                  <c:y val="0.10005107330970445"/>
                </c:manualLayout>
              </c:layout>
              <c:tx>
                <c:rich>
                  <a:bodyPr rot="0" spcFirstLastPara="1" vertOverflow="ellipsis" vert="horz" wrap="square" lIns="38100" tIns="19050" rIns="38100" bIns="19050" anchor="ctr" anchorCtr="1">
                    <a:noAutofit/>
                  </a:bodyPr>
                  <a:lstStyle/>
                  <a:p>
                    <a:pPr>
                      <a:defRPr lang="en-US" sz="1000" b="1" i="0" u="none" strike="noStrike" kern="1200" baseline="0">
                        <a:solidFill>
                          <a:schemeClr val="lt1"/>
                        </a:solidFill>
                        <a:latin typeface="+mn-lt"/>
                        <a:ea typeface="+mn-ea"/>
                        <a:cs typeface="+mn-cs"/>
                      </a:defRPr>
                    </a:pPr>
                    <a:fld id="{88EE11C1-F91A-40EA-BF48-F31866CC9C0D}" type="CELLRANGE">
                      <a:rPr lang="en-US" baseline="0"/>
                      <a:pPr>
                        <a:defRPr lang="en-US" sz="1000" b="1" i="0" u="none" strike="noStrike" kern="1200" baseline="0">
                          <a:solidFill>
                            <a:schemeClr val="lt1"/>
                          </a:solidFill>
                          <a:latin typeface="+mn-lt"/>
                          <a:ea typeface="+mn-ea"/>
                          <a:cs typeface="+mn-cs"/>
                        </a:defRPr>
                      </a:pPr>
                      <a:t>[CELLRANGE]</a:t>
                    </a:fld>
                    <a:r>
                      <a:rPr lang="en-US" baseline="0"/>
                      <a:t>[C</a:t>
                    </a:r>
                    <a:fld id="{90434BD1-6756-4FFF-8122-ECF8EA9E8169}" type="PERCENTAGE">
                      <a:rPr lang="en-US" baseline="0"/>
                      <a:pPr>
                        <a:defRPr lang="en-US" sz="1000" b="1" i="0" u="none" strike="noStrike" kern="1200" baseline="0">
                          <a:solidFill>
                            <a:schemeClr val="lt1"/>
                          </a:solidFill>
                          <a:latin typeface="+mn-lt"/>
                          <a:ea typeface="+mn-ea"/>
                          <a:cs typeface="+mn-cs"/>
                        </a:defRPr>
                      </a:pPr>
                      <a:t>[PERCENTAGE]</a:t>
                    </a:fld>
                    <a:endParaRPr lang="en-US" baseline="0"/>
                  </a:p>
                </c:rich>
              </c:tx>
              <c:numFmt formatCode="0.00%" sourceLinked="0"/>
              <c:spPr>
                <a:solidFill>
                  <a:schemeClr val="tx1">
                    <a:lumMod val="65000"/>
                    <a:lumOff val="35000"/>
                  </a:schemeClr>
                </a:solidFill>
                <a:ln>
                  <a:noFill/>
                </a:ln>
                <a:effectLst>
                  <a:outerShdw blurRad="50800" dist="38100" dir="2700000" algn="tl" rotWithShape="0">
                    <a:prstClr val="black">
                      <a:alpha val="40000"/>
                    </a:prstClr>
                  </a:outerShdw>
                </a:effectLst>
              </c:spPr>
              <c:dLblPos val="bestFit"/>
              <c:showLegendKey val="0"/>
              <c:showVal val="0"/>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showDataLabelsRange val="0"/>
                </c:ext>
              </c:extLst>
            </c:dLbl>
            <c:dLbl>
              <c:idx val="3"/>
              <c:layout>
                <c:manualLayout>
                  <c:x val="-0.20276988279065064"/>
                  <c:y val="-0.14934281873856328"/>
                </c:manualLayout>
              </c:layout>
              <c:tx>
                <c:rich>
                  <a:bodyPr rot="0" spcFirstLastPara="1" vertOverflow="ellipsis" vert="horz" wrap="square" lIns="38100" tIns="19050" rIns="38100" bIns="19050" anchor="ctr" anchorCtr="1">
                    <a:noAutofit/>
                  </a:bodyPr>
                  <a:lstStyle/>
                  <a:p>
                    <a:pPr>
                      <a:defRPr lang="en-US" sz="1000" b="1" i="0" u="none" strike="noStrike" kern="1200" baseline="0">
                        <a:solidFill>
                          <a:schemeClr val="lt1"/>
                        </a:solidFill>
                        <a:latin typeface="+mn-lt"/>
                        <a:ea typeface="+mn-ea"/>
                        <a:cs typeface="+mn-cs"/>
                      </a:defRPr>
                    </a:pPr>
                    <a:fld id="{248C549E-5409-4E2D-96FF-3C5DAF392C99}" type="CELLRANGE">
                      <a:rPr lang="en-US" baseline="0"/>
                      <a:pPr>
                        <a:defRPr lang="en-US" sz="1000" b="1" i="0" u="none" strike="noStrike" kern="1200" baseline="0">
                          <a:solidFill>
                            <a:schemeClr val="lt1"/>
                          </a:solidFill>
                          <a:latin typeface="+mn-lt"/>
                          <a:ea typeface="+mn-ea"/>
                          <a:cs typeface="+mn-cs"/>
                        </a:defRPr>
                      </a:pPr>
                      <a:t>[CELLRANGE]</a:t>
                    </a:fld>
                    <a:r>
                      <a:rPr lang="en-US" baseline="0"/>
                      <a:t>[C</a:t>
                    </a:r>
                    <a:fld id="{2A2C5DCF-21FC-4191-BDBF-DE29220BB5E6}" type="PERCENTAGE">
                      <a:rPr lang="en-US" baseline="0"/>
                      <a:pPr>
                        <a:defRPr lang="en-US" sz="1000" b="1" i="0" u="none" strike="noStrike" kern="1200" baseline="0">
                          <a:solidFill>
                            <a:schemeClr val="lt1"/>
                          </a:solidFill>
                          <a:latin typeface="+mn-lt"/>
                          <a:ea typeface="+mn-ea"/>
                          <a:cs typeface="+mn-cs"/>
                        </a:defRPr>
                      </a:pPr>
                      <a:t>[PERCENTAGE]</a:t>
                    </a:fld>
                    <a:endParaRPr lang="en-US" baseline="0"/>
                  </a:p>
                </c:rich>
              </c:tx>
              <c:numFmt formatCode="0.00%" sourceLinked="0"/>
              <c:spPr>
                <a:solidFill>
                  <a:schemeClr val="tx1">
                    <a:lumMod val="65000"/>
                    <a:lumOff val="35000"/>
                  </a:schemeClr>
                </a:solidFill>
                <a:ln>
                  <a:noFill/>
                </a:ln>
                <a:effectLst>
                  <a:outerShdw blurRad="50800" dist="38100" dir="2700000" algn="tl" rotWithShape="0">
                    <a:prstClr val="black">
                      <a:alpha val="40000"/>
                    </a:prstClr>
                  </a:outerShdw>
                </a:effectLst>
              </c:spPr>
              <c:dLblPos val="bestFit"/>
              <c:showLegendKey val="0"/>
              <c:showVal val="0"/>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showDataLabelsRange val="0"/>
                </c:ext>
              </c:extLst>
            </c:dLbl>
            <c:dLbl>
              <c:idx val="4"/>
              <c:layout>
                <c:manualLayout>
                  <c:x val="7.0811451062404163E-2"/>
                  <c:y val="-0.19722409659957388"/>
                </c:manualLayout>
              </c:layout>
              <c:tx>
                <c:rich>
                  <a:bodyPr rot="0" spcFirstLastPara="1" vertOverflow="ellipsis" vert="horz" wrap="square" lIns="38100" tIns="19050" rIns="38100" bIns="19050" anchor="ctr" anchorCtr="1">
                    <a:noAutofit/>
                  </a:bodyPr>
                  <a:lstStyle/>
                  <a:p>
                    <a:pPr>
                      <a:defRPr lang="en-US" sz="1000" b="1" i="0" u="none" strike="noStrike" kern="1200" baseline="0">
                        <a:solidFill>
                          <a:schemeClr val="lt1"/>
                        </a:solidFill>
                        <a:latin typeface="+mn-lt"/>
                        <a:ea typeface="+mn-ea"/>
                        <a:cs typeface="+mn-cs"/>
                      </a:defRPr>
                    </a:pPr>
                    <a:fld id="{E1E58373-9A93-4574-B663-C00B6858195D}" type="CELLRANGE">
                      <a:rPr lang="en-US" baseline="0"/>
                      <a:pPr>
                        <a:defRPr lang="en-US" sz="1000" b="1" i="0" u="none" strike="noStrike" kern="1200" baseline="0">
                          <a:solidFill>
                            <a:schemeClr val="lt1"/>
                          </a:solidFill>
                          <a:latin typeface="+mn-lt"/>
                          <a:ea typeface="+mn-ea"/>
                          <a:cs typeface="+mn-cs"/>
                        </a:defRPr>
                      </a:pPr>
                      <a:t>[CELLRANGE]</a:t>
                    </a:fld>
                    <a:r>
                      <a:rPr lang="en-US" baseline="0"/>
                      <a:t>[C</a:t>
                    </a:r>
                    <a:fld id="{05CDD2C0-AE6F-4DE0-BD50-E5816A87C80C}" type="PERCENTAGE">
                      <a:rPr lang="en-US" baseline="0"/>
                      <a:pPr>
                        <a:defRPr lang="en-US" sz="1000" b="1" i="0" u="none" strike="noStrike" kern="1200" baseline="0">
                          <a:solidFill>
                            <a:schemeClr val="lt1"/>
                          </a:solidFill>
                          <a:latin typeface="+mn-lt"/>
                          <a:ea typeface="+mn-ea"/>
                          <a:cs typeface="+mn-cs"/>
                        </a:defRPr>
                      </a:pPr>
                      <a:t>[PERCENTAGE]</a:t>
                    </a:fld>
                    <a:endParaRPr lang="en-US" baseline="0"/>
                  </a:p>
                </c:rich>
              </c:tx>
              <c:numFmt formatCode="0.00%" sourceLinked="0"/>
              <c:spPr>
                <a:solidFill>
                  <a:schemeClr val="tx1">
                    <a:lumMod val="65000"/>
                    <a:lumOff val="35000"/>
                  </a:schemeClr>
                </a:solidFill>
                <a:ln>
                  <a:noFill/>
                </a:ln>
                <a:effectLst>
                  <a:outerShdw blurRad="50800" dist="38100" dir="2700000" algn="tl" rotWithShape="0">
                    <a:prstClr val="black">
                      <a:alpha val="40000"/>
                    </a:prstClr>
                  </a:outerShdw>
                </a:effectLst>
              </c:spPr>
              <c:dLblPos val="bestFit"/>
              <c:showLegendKey val="0"/>
              <c:showVal val="0"/>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showDataLabelsRange val="0"/>
                </c:ext>
              </c:extLst>
            </c:dLbl>
            <c:dLbl>
              <c:idx val="5"/>
              <c:layout>
                <c:manualLayout>
                  <c:x val="0.22542453127253359"/>
                  <c:y val="0.11107370094665255"/>
                </c:manualLayout>
              </c:layout>
              <c:tx>
                <c:rich>
                  <a:bodyPr rot="0" spcFirstLastPara="1" vertOverflow="ellipsis" vert="horz" wrap="square" lIns="38100" tIns="19050" rIns="38100" bIns="19050" anchor="ctr" anchorCtr="1">
                    <a:noAutofit/>
                  </a:bodyPr>
                  <a:lstStyle/>
                  <a:p>
                    <a:pPr>
                      <a:defRPr lang="en-US" sz="1000" b="1" i="0" u="none" strike="noStrike" kern="1200" baseline="0">
                        <a:solidFill>
                          <a:schemeClr val="lt1"/>
                        </a:solidFill>
                        <a:latin typeface="+mn-lt"/>
                        <a:ea typeface="+mn-ea"/>
                        <a:cs typeface="+mn-cs"/>
                      </a:defRPr>
                    </a:pPr>
                    <a:fld id="{9A8D2001-A500-4537-AFD2-8C7433221F32}" type="CELLRANGE">
                      <a:rPr lang="en-US" baseline="0"/>
                      <a:pPr>
                        <a:defRPr lang="en-US" sz="1000" b="1" i="0" u="none" strike="noStrike" kern="1200" baseline="0">
                          <a:solidFill>
                            <a:schemeClr val="lt1"/>
                          </a:solidFill>
                          <a:latin typeface="+mn-lt"/>
                          <a:ea typeface="+mn-ea"/>
                          <a:cs typeface="+mn-cs"/>
                        </a:defRPr>
                      </a:pPr>
                      <a:t>[CELLRANGE]</a:t>
                    </a:fld>
                    <a:r>
                      <a:rPr lang="en-US" baseline="0"/>
                      <a:t>[C</a:t>
                    </a:r>
                    <a:fld id="{67F92D17-58CA-43A6-9659-900C3F3EF1A4}" type="PERCENTAGE">
                      <a:rPr lang="en-US" baseline="0"/>
                      <a:pPr>
                        <a:defRPr lang="en-US" sz="1000" b="1" i="0" u="none" strike="noStrike" kern="1200" baseline="0">
                          <a:solidFill>
                            <a:schemeClr val="lt1"/>
                          </a:solidFill>
                          <a:latin typeface="+mn-lt"/>
                          <a:ea typeface="+mn-ea"/>
                          <a:cs typeface="+mn-cs"/>
                        </a:defRPr>
                      </a:pPr>
                      <a:t>[PERCENTAGE]</a:t>
                    </a:fld>
                    <a:endParaRPr lang="en-US" baseline="0"/>
                  </a:p>
                </c:rich>
              </c:tx>
              <c:numFmt formatCode="0.00%" sourceLinked="0"/>
              <c:spPr>
                <a:solidFill>
                  <a:schemeClr val="tx1">
                    <a:lumMod val="65000"/>
                    <a:lumOff val="35000"/>
                  </a:schemeClr>
                </a:solidFill>
                <a:ln>
                  <a:noFill/>
                </a:ln>
                <a:effectLst>
                  <a:outerShdw blurRad="50800" dist="38100" dir="2700000" algn="tl" rotWithShape="0">
                    <a:prstClr val="black">
                      <a:alpha val="40000"/>
                    </a:prstClr>
                  </a:outerShdw>
                </a:effectLst>
              </c:spPr>
              <c:dLblPos val="bestFit"/>
              <c:showLegendKey val="0"/>
              <c:showVal val="0"/>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showDataLabelsRange val="0"/>
                </c:ext>
              </c:extLst>
            </c:dLbl>
            <c:numFmt formatCode="0.00%" sourceLinked="0"/>
            <c:spPr>
              <a:solidFill>
                <a:schemeClr val="tx1">
                  <a:lumMod val="65000"/>
                  <a:lumOff val="35000"/>
                </a:schemeClr>
              </a:solidFill>
              <a:ln>
                <a:noFill/>
              </a:ln>
              <a:effectLst>
                <a:outerShdw blurRad="50800" dist="38100" dir="2700000" algn="tl" rotWithShape="0">
                  <a:prstClr val="black">
                    <a:alpha val="40000"/>
                  </a:prstClr>
                </a:outerShdw>
              </a:effectLst>
            </c:spPr>
            <c:txPr>
              <a:bodyPr rot="0" spcFirstLastPara="1" vertOverflow="ellipsis" vert="horz" wrap="square" lIns="38100" tIns="19050" rIns="38100" bIns="19050" anchor="ctr" anchorCtr="1">
                <a:spAutoFit/>
              </a:bodyPr>
              <a:lstStyle/>
              <a:p>
                <a:pPr>
                  <a:defRPr lang="en-US" sz="1000" b="1" i="0" u="none" strike="noStrike" kern="1200" baseline="0">
                    <a:solidFill>
                      <a:schemeClr val="lt1"/>
                    </a:solidFill>
                    <a:latin typeface="+mn-lt"/>
                    <a:ea typeface="+mn-ea"/>
                    <a:cs typeface="+mn-cs"/>
                  </a:defRPr>
                </a:pPr>
                <a:endParaRPr lang="en-US"/>
              </a:p>
            </c:txPr>
            <c:dLblPos val="ctr"/>
            <c:showLegendKey val="0"/>
            <c:showVal val="0"/>
            <c:showCatName val="0"/>
            <c:showSerName val="0"/>
            <c:showPercent val="1"/>
            <c:showBubbleSize val="0"/>
            <c:showLeaderLines val="1"/>
            <c:leaderLines>
              <c:spPr>
                <a:ln w="9525">
                  <a:solidFill>
                    <a:schemeClr val="dk1">
                      <a:lumMod val="50000"/>
                      <a:lumOff val="50000"/>
                    </a:schemeClr>
                  </a:solidFill>
                </a:ln>
                <a:effectLst/>
              </c:spPr>
            </c:leaderLines>
            <c:extLst>
              <c:ext xmlns:c15="http://schemas.microsoft.com/office/drawing/2012/chart" uri="{CE6537A1-D6FC-4f65-9D91-7224C49458BB}"/>
            </c:extLst>
          </c:dLbls>
          <c:cat>
            <c:strRef>
              <c:f>'Summary Tables &amp; Charts'!$C$303:$C$308</c:f>
              <c:strCache>
                <c:ptCount val="6"/>
                <c:pt idx="0">
                  <c:v>ICT</c:v>
                </c:pt>
                <c:pt idx="1">
                  <c:v>Other Public Infrastructure</c:v>
                </c:pt>
                <c:pt idx="2">
                  <c:v>Water Resources</c:v>
                </c:pt>
                <c:pt idx="3">
                  <c:v>Energy</c:v>
                </c:pt>
                <c:pt idx="4">
                  <c:v>Social Infrastructure</c:v>
                </c:pt>
                <c:pt idx="5">
                  <c:v>Transportation</c:v>
                </c:pt>
              </c:strCache>
            </c:strRef>
          </c:cat>
          <c:val>
            <c:numRef>
              <c:f>'Summary Tables &amp; Charts'!$K$303:$K$308</c:f>
              <c:numCache>
                <c:formatCode>_(* #,##0.00_);_(* \(#,##0.00\);_(* "-"??_);_(@_)</c:formatCode>
                <c:ptCount val="6"/>
                <c:pt idx="0">
                  <c:v>0</c:v>
                </c:pt>
                <c:pt idx="1">
                  <c:v>0</c:v>
                </c:pt>
                <c:pt idx="2">
                  <c:v>0</c:v>
                </c:pt>
                <c:pt idx="3">
                  <c:v>0</c:v>
                </c:pt>
                <c:pt idx="4">
                  <c:v>0</c:v>
                </c:pt>
                <c:pt idx="5">
                  <c:v>0</c:v>
                </c:pt>
              </c:numCache>
            </c:numRef>
          </c:val>
        </c:ser>
        <c:dLbls>
          <c:showLegendKey val="0"/>
          <c:showVal val="0"/>
          <c:showCatName val="0"/>
          <c:showSerName val="0"/>
          <c:showPercent val="1"/>
          <c:showBubbleSize val="0"/>
          <c:showLeaderLines val="1"/>
        </c:dLbls>
        <c:firstSliceAng val="21"/>
      </c:pieChart>
      <c:spPr>
        <a:noFill/>
        <a:ln w="25400">
          <a:noFill/>
        </a:ln>
      </c:spPr>
    </c:plotArea>
    <c:legend>
      <c:legendPos val="r"/>
      <c:layout>
        <c:manualLayout>
          <c:xMode val="edge"/>
          <c:yMode val="edge"/>
          <c:x val="0.19318181818181818"/>
          <c:y val="0.89173128758947873"/>
          <c:w val="0.64346590909090917"/>
          <c:h val="8.872199994566482E-2"/>
        </c:manualLayout>
      </c:layout>
      <c:overlay val="0"/>
      <c:spPr>
        <a:solidFill>
          <a:schemeClr val="bg1">
            <a:lumMod val="95000"/>
          </a:schemeClr>
        </a:solidFill>
        <a:ln>
          <a:solidFill>
            <a:schemeClr val="tx1"/>
          </a:solidFill>
        </a:ln>
        <a:effectLst/>
      </c:spPr>
      <c:txPr>
        <a:bodyPr rot="0" spcFirstLastPara="1" vertOverflow="ellipsis" vert="horz" wrap="square" anchor="ctr" anchorCtr="1"/>
        <a:lstStyle/>
        <a:p>
          <a:pPr>
            <a:defRPr lang="en-US" sz="900" b="0" i="0" u="none" strike="noStrike" kern="1200" baseline="0">
              <a:solidFill>
                <a:schemeClr val="dk1">
                  <a:lumMod val="75000"/>
                  <a:lumOff val="25000"/>
                </a:schemeClr>
              </a:solidFill>
              <a:latin typeface="+mn-lt"/>
              <a:ea typeface="+mn-ea"/>
              <a:cs typeface="+mn-cs"/>
            </a:defRPr>
          </a:pPr>
          <a:endParaRPr lang="en-US"/>
        </a:p>
      </c:txPr>
    </c:legend>
    <c:plotVisOnly val="1"/>
    <c:dispBlanksAs val="zero"/>
    <c:showDLblsOverMax val="0"/>
  </c:chart>
  <c:spPr>
    <a:noFill/>
    <a:ln w="9525" cap="flat" cmpd="sng" algn="ctr">
      <a:solidFill>
        <a:schemeClr val="tx1"/>
      </a:solidFill>
      <a:round/>
    </a:ln>
    <a:effectLst/>
  </c:spPr>
  <c:txPr>
    <a:bodyPr/>
    <a:lstStyle/>
    <a:p>
      <a:pPr>
        <a:defRPr/>
      </a:pPr>
      <a:endParaRPr lang="en-US"/>
    </a:p>
  </c:txPr>
  <c:printSettings>
    <c:headerFooter/>
    <c:pageMargins b="0.75000000000000022" l="0.70000000000000018" r="0.70000000000000018" t="0.75000000000000022" header="0.3000000000000001" footer="0.3000000000000001"/>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12" Type="http://schemas.openxmlformats.org/officeDocument/2006/relationships/chart" Target="../charts/chart12.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_rels/drawing2.xml.rels><?xml version="1.0" encoding="UTF-8" standalone="yes"?>
<Relationships xmlns="http://schemas.openxmlformats.org/package/2006/relationships"><Relationship Id="rId3" Type="http://schemas.openxmlformats.org/officeDocument/2006/relationships/chart" Target="../charts/chart15.xml"/><Relationship Id="rId2" Type="http://schemas.openxmlformats.org/officeDocument/2006/relationships/chart" Target="../charts/chart14.xml"/><Relationship Id="rId1" Type="http://schemas.openxmlformats.org/officeDocument/2006/relationships/chart" Target="../charts/chart13.xml"/></Relationships>
</file>

<file path=xl/drawings/drawing1.xml><?xml version="1.0" encoding="utf-8"?>
<xdr:wsDr xmlns:xdr="http://schemas.openxmlformats.org/drawingml/2006/spreadsheetDrawing" xmlns:a="http://schemas.openxmlformats.org/drawingml/2006/main">
  <xdr:twoCellAnchor>
    <xdr:from>
      <xdr:col>2</xdr:col>
      <xdr:colOff>449580</xdr:colOff>
      <xdr:row>173</xdr:row>
      <xdr:rowOff>53340</xdr:rowOff>
    </xdr:from>
    <xdr:to>
      <xdr:col>10</xdr:col>
      <xdr:colOff>213360</xdr:colOff>
      <xdr:row>204</xdr:row>
      <xdr:rowOff>99060</xdr:rowOff>
    </xdr:to>
    <xdr:graphicFrame macro="">
      <xdr:nvGraphicFramePr>
        <xdr:cNvPr id="2049"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1539240</xdr:colOff>
      <xdr:row>310</xdr:row>
      <xdr:rowOff>167640</xdr:rowOff>
    </xdr:from>
    <xdr:to>
      <xdr:col>9</xdr:col>
      <xdr:colOff>266700</xdr:colOff>
      <xdr:row>342</xdr:row>
      <xdr:rowOff>0</xdr:rowOff>
    </xdr:to>
    <xdr:graphicFrame macro="">
      <xdr:nvGraphicFramePr>
        <xdr:cNvPr id="2050"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6</xdr:col>
      <xdr:colOff>381000</xdr:colOff>
      <xdr:row>375</xdr:row>
      <xdr:rowOff>45720</xdr:rowOff>
    </xdr:from>
    <xdr:to>
      <xdr:col>9</xdr:col>
      <xdr:colOff>1203960</xdr:colOff>
      <xdr:row>402</xdr:row>
      <xdr:rowOff>129540</xdr:rowOff>
    </xdr:to>
    <xdr:graphicFrame macro="">
      <xdr:nvGraphicFramePr>
        <xdr:cNvPr id="2051"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xdr:col>
      <xdr:colOff>914400</xdr:colOff>
      <xdr:row>226</xdr:row>
      <xdr:rowOff>129540</xdr:rowOff>
    </xdr:from>
    <xdr:to>
      <xdr:col>6</xdr:col>
      <xdr:colOff>655320</xdr:colOff>
      <xdr:row>252</xdr:row>
      <xdr:rowOff>106680</xdr:rowOff>
    </xdr:to>
    <xdr:graphicFrame macro="">
      <xdr:nvGraphicFramePr>
        <xdr:cNvPr id="2052"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632460</xdr:colOff>
      <xdr:row>76</xdr:row>
      <xdr:rowOff>0</xdr:rowOff>
    </xdr:from>
    <xdr:to>
      <xdr:col>10</xdr:col>
      <xdr:colOff>1181100</xdr:colOff>
      <xdr:row>107</xdr:row>
      <xdr:rowOff>53340</xdr:rowOff>
    </xdr:to>
    <xdr:graphicFrame macro="">
      <xdr:nvGraphicFramePr>
        <xdr:cNvPr id="2053"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2</xdr:col>
      <xdr:colOff>1348740</xdr:colOff>
      <xdr:row>269</xdr:row>
      <xdr:rowOff>45720</xdr:rowOff>
    </xdr:from>
    <xdr:to>
      <xdr:col>6</xdr:col>
      <xdr:colOff>1082040</xdr:colOff>
      <xdr:row>297</xdr:row>
      <xdr:rowOff>30480</xdr:rowOff>
    </xdr:to>
    <xdr:graphicFrame macro="">
      <xdr:nvGraphicFramePr>
        <xdr:cNvPr id="2054"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6</xdr:col>
      <xdr:colOff>822960</xdr:colOff>
      <xdr:row>226</xdr:row>
      <xdr:rowOff>83820</xdr:rowOff>
    </xdr:from>
    <xdr:to>
      <xdr:col>10</xdr:col>
      <xdr:colOff>1082040</xdr:colOff>
      <xdr:row>254</xdr:row>
      <xdr:rowOff>76200</xdr:rowOff>
    </xdr:to>
    <xdr:graphicFrame macro="">
      <xdr:nvGraphicFramePr>
        <xdr:cNvPr id="2055" name="Chart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6</xdr:col>
      <xdr:colOff>1531620</xdr:colOff>
      <xdr:row>269</xdr:row>
      <xdr:rowOff>60960</xdr:rowOff>
    </xdr:from>
    <xdr:to>
      <xdr:col>11</xdr:col>
      <xdr:colOff>205740</xdr:colOff>
      <xdr:row>297</xdr:row>
      <xdr:rowOff>53340</xdr:rowOff>
    </xdr:to>
    <xdr:graphicFrame macro="">
      <xdr:nvGraphicFramePr>
        <xdr:cNvPr id="2056" name="Chart 1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2</xdr:col>
      <xdr:colOff>1089660</xdr:colOff>
      <xdr:row>375</xdr:row>
      <xdr:rowOff>15240</xdr:rowOff>
    </xdr:from>
    <xdr:to>
      <xdr:col>5</xdr:col>
      <xdr:colOff>1272540</xdr:colOff>
      <xdr:row>402</xdr:row>
      <xdr:rowOff>144780</xdr:rowOff>
    </xdr:to>
    <xdr:graphicFrame macro="">
      <xdr:nvGraphicFramePr>
        <xdr:cNvPr id="2057" name="Chart 1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2</xdr:col>
      <xdr:colOff>784860</xdr:colOff>
      <xdr:row>343</xdr:row>
      <xdr:rowOff>0</xdr:rowOff>
    </xdr:from>
    <xdr:to>
      <xdr:col>10</xdr:col>
      <xdr:colOff>1562100</xdr:colOff>
      <xdr:row>374</xdr:row>
      <xdr:rowOff>15240</xdr:rowOff>
    </xdr:to>
    <xdr:graphicFrame macro="">
      <xdr:nvGraphicFramePr>
        <xdr:cNvPr id="2058" name="Chart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1</xdr:col>
      <xdr:colOff>0</xdr:colOff>
      <xdr:row>138</xdr:row>
      <xdr:rowOff>0</xdr:rowOff>
    </xdr:from>
    <xdr:to>
      <xdr:col>10</xdr:col>
      <xdr:colOff>205740</xdr:colOff>
      <xdr:row>169</xdr:row>
      <xdr:rowOff>53340</xdr:rowOff>
    </xdr:to>
    <xdr:graphicFrame macro="">
      <xdr:nvGraphicFramePr>
        <xdr:cNvPr id="2059" name="Chart 1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xdr:col>
      <xdr:colOff>0</xdr:colOff>
      <xdr:row>42</xdr:row>
      <xdr:rowOff>0</xdr:rowOff>
    </xdr:from>
    <xdr:to>
      <xdr:col>10</xdr:col>
      <xdr:colOff>1546860</xdr:colOff>
      <xdr:row>74</xdr:row>
      <xdr:rowOff>167640</xdr:rowOff>
    </xdr:to>
    <xdr:graphicFrame macro="">
      <xdr:nvGraphicFramePr>
        <xdr:cNvPr id="2060" name="Chart 1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3</xdr:col>
      <xdr:colOff>0</xdr:colOff>
      <xdr:row>276</xdr:row>
      <xdr:rowOff>0</xdr:rowOff>
    </xdr:from>
    <xdr:to>
      <xdr:col>8</xdr:col>
      <xdr:colOff>784860</xdr:colOff>
      <xdr:row>308</xdr:row>
      <xdr:rowOff>106680</xdr:rowOff>
    </xdr:to>
    <xdr:graphicFrame macro="">
      <xdr:nvGraphicFramePr>
        <xdr:cNvPr id="15361"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7620</xdr:colOff>
      <xdr:row>308</xdr:row>
      <xdr:rowOff>144780</xdr:rowOff>
    </xdr:from>
    <xdr:to>
      <xdr:col>8</xdr:col>
      <xdr:colOff>830580</xdr:colOff>
      <xdr:row>346</xdr:row>
      <xdr:rowOff>175260</xdr:rowOff>
    </xdr:to>
    <xdr:graphicFrame macro="">
      <xdr:nvGraphicFramePr>
        <xdr:cNvPr id="15362"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312420</xdr:colOff>
      <xdr:row>346</xdr:row>
      <xdr:rowOff>152400</xdr:rowOff>
    </xdr:from>
    <xdr:to>
      <xdr:col>8</xdr:col>
      <xdr:colOff>1097280</xdr:colOff>
      <xdr:row>379</xdr:row>
      <xdr:rowOff>91440</xdr:rowOff>
    </xdr:to>
    <xdr:graphicFrame macro="">
      <xdr:nvGraphicFramePr>
        <xdr:cNvPr id="15363"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eme/themeOverride1.xml><?xml version="1.0" encoding="utf-8"?>
<a:themeOverride xmlns:a="http://schemas.openxmlformats.org/drawingml/2006/main">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theme/themeOverride2.xml><?xml version="1.0" encoding="utf-8"?>
<a:themeOverride xmlns:a="http://schemas.openxmlformats.org/drawingml/2006/main">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theme/themeOverride3.xml><?xml version="1.0" encoding="utf-8"?>
<a:themeOverride xmlns:a="http://schemas.openxmlformats.org/drawingml/2006/main">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autoPageBreaks="0"/>
  </sheetPr>
  <dimension ref="A1:IV40"/>
  <sheetViews>
    <sheetView showGridLines="0" tabSelected="1" zoomScale="55" zoomScaleNormal="55" zoomScaleSheetLayoutView="70" workbookViewId="0">
      <pane xSplit="3" ySplit="10" topLeftCell="AM11" activePane="bottomRight" state="frozen"/>
      <selection activeCell="C1" sqref="C1"/>
      <selection pane="topRight" activeCell="D1" sqref="D1"/>
      <selection pane="bottomLeft" activeCell="C10" sqref="C10"/>
      <selection pane="bottomRight" activeCell="C11" sqref="C11"/>
    </sheetView>
  </sheetViews>
  <sheetFormatPr defaultColWidth="0" defaultRowHeight="15.6" outlineLevelCol="1"/>
  <cols>
    <col min="1" max="1" width="6.33203125" style="3" hidden="1" customWidth="1"/>
    <col min="2" max="2" width="8.6640625" style="717" customWidth="1"/>
    <col min="3" max="3" width="47.5546875" style="408" bestFit="1" customWidth="1"/>
    <col min="4" max="26" width="12.6640625" style="8" hidden="1" customWidth="1" outlineLevel="1"/>
    <col min="27" max="33" width="14.44140625" style="8" hidden="1" customWidth="1" outlineLevel="1"/>
    <col min="34" max="34" width="12.6640625" style="8" hidden="1" customWidth="1" outlineLevel="1"/>
    <col min="35" max="35" width="14.109375" style="8" hidden="1" customWidth="1" outlineLevel="1"/>
    <col min="36" max="36" width="12.6640625" style="8" hidden="1" customWidth="1" outlineLevel="1"/>
    <col min="37" max="37" width="13.6640625" style="8" hidden="1" customWidth="1" outlineLevel="1"/>
    <col min="38" max="38" width="12.6640625" style="8" hidden="1" customWidth="1" outlineLevel="1"/>
    <col min="39" max="39" width="24" style="4" customWidth="1" collapsed="1"/>
    <col min="40" max="40" width="20.5546875" style="4" customWidth="1"/>
    <col min="41" max="43" width="24" style="4" customWidth="1"/>
    <col min="44" max="44" width="25.109375" style="15" customWidth="1"/>
    <col min="45" max="45" width="17.88671875" style="6" customWidth="1"/>
    <col min="46" max="46" width="15.33203125" style="5" customWidth="1"/>
    <col min="47" max="47" width="18.88671875" style="5" customWidth="1"/>
    <col min="48" max="53" width="28.6640625" style="29" hidden="1" customWidth="1" outlineLevel="1"/>
    <col min="54" max="54" width="19.109375" style="139" customWidth="1" collapsed="1"/>
    <col min="55" max="55" width="19.33203125" style="139" customWidth="1"/>
    <col min="56" max="59" width="26.88671875" style="29" hidden="1" customWidth="1" outlineLevel="1"/>
    <col min="60" max="60" width="28.44140625" style="8" customWidth="1" collapsed="1"/>
    <col min="61" max="77" width="12.6640625" style="8" hidden="1" customWidth="1" outlineLevel="1"/>
    <col min="78" max="78" width="14.44140625" style="8" customWidth="1" collapsed="1"/>
    <col min="79" max="79" width="13.6640625" style="6" customWidth="1"/>
    <col min="80" max="80" width="15.6640625" style="10" customWidth="1"/>
    <col min="81" max="86" width="28.6640625" style="29" hidden="1" customWidth="1" outlineLevel="1"/>
    <col min="87" max="87" width="19.109375" style="29" customWidth="1" collapsed="1"/>
    <col min="88" max="88" width="17.5546875" style="29" customWidth="1"/>
    <col min="89" max="89" width="20.6640625" style="5" customWidth="1"/>
    <col min="90" max="90" width="16.33203125" style="10" hidden="1" customWidth="1"/>
    <col min="91" max="93" width="32.5546875" style="5" hidden="1" customWidth="1" outlineLevel="1"/>
    <col min="94" max="97" width="27.33203125" style="5" hidden="1" customWidth="1" outlineLevel="1"/>
    <col min="98" max="98" width="32.5546875" style="5" hidden="1" customWidth="1" outlineLevel="1"/>
    <col min="99" max="99" width="22" style="10" customWidth="1" collapsed="1"/>
    <col min="100" max="100" width="21" style="10" customWidth="1"/>
    <col min="101" max="101" width="26.88671875" style="139" hidden="1" customWidth="1" outlineLevel="1"/>
    <col min="102" max="107" width="26.88671875" style="29" hidden="1" customWidth="1" outlineLevel="1"/>
    <col min="108" max="108" width="23.33203125" style="139" hidden="1" customWidth="1" collapsed="1"/>
    <col min="109" max="109" width="26.88671875" style="139" hidden="1" customWidth="1" outlineLevel="1"/>
    <col min="110" max="115" width="26.88671875" style="29" hidden="1" customWidth="1" outlineLevel="1"/>
    <col min="116" max="116" width="24.33203125" style="139" hidden="1" customWidth="1" collapsed="1"/>
    <col min="117" max="117" width="26.88671875" style="139" hidden="1" customWidth="1"/>
    <col min="118" max="118" width="23" style="10" customWidth="1"/>
    <col min="119" max="119" width="25.6640625" style="139" customWidth="1"/>
    <col min="120" max="120" width="17.33203125" style="9" customWidth="1"/>
    <col min="121" max="128" width="17.33203125" style="5" customWidth="1" outlineLevel="1"/>
    <col min="129" max="129" width="17.33203125" style="11" customWidth="1"/>
    <col min="130" max="137" width="22.6640625" style="5" hidden="1" customWidth="1" outlineLevel="1"/>
    <col min="138" max="138" width="22.6640625" style="11" customWidth="1" collapsed="1"/>
    <col min="139" max="146" width="22.6640625" style="5" hidden="1" customWidth="1" outlineLevel="1"/>
    <col min="147" max="147" width="22.6640625" style="11" customWidth="1" collapsed="1"/>
    <col min="148" max="155" width="22.6640625" style="5" hidden="1" customWidth="1" outlineLevel="1"/>
    <col min="156" max="156" width="22.6640625" style="11" customWidth="1" collapsed="1"/>
    <col min="157" max="157" width="22.6640625" style="12" hidden="1" customWidth="1" outlineLevel="1" collapsed="1"/>
    <col min="158" max="164" width="22.6640625" style="5" hidden="1" customWidth="1" outlineLevel="1"/>
    <col min="165" max="165" width="22.6640625" style="11" customWidth="1" collapsed="1"/>
    <col min="166" max="166" width="22.6640625" style="404" hidden="1" customWidth="1" outlineLevel="1"/>
    <col min="167" max="173" width="22.6640625" style="5" hidden="1" customWidth="1" outlineLevel="1"/>
    <col min="174" max="174" width="22.6640625" style="11" customWidth="1" collapsed="1"/>
    <col min="175" max="182" width="22.6640625" style="5" hidden="1" customWidth="1" outlineLevel="1"/>
    <col min="183" max="183" width="22.6640625" style="11" customWidth="1" collapsed="1"/>
    <col min="184" max="191" width="22.6640625" style="5" hidden="1" customWidth="1" outlineLevel="1"/>
    <col min="192" max="192" width="22.6640625" style="11" customWidth="1" collapsed="1"/>
    <col min="193" max="200" width="22.6640625" style="5" hidden="1" customWidth="1" outlineLevel="1"/>
    <col min="201" max="201" width="22.6640625" style="11" hidden="1" customWidth="1" collapsed="1"/>
    <col min="202" max="209" width="22.6640625" style="5" hidden="1" customWidth="1" outlineLevel="1"/>
    <col min="210" max="210" width="25.109375" style="11" customWidth="1" collapsed="1"/>
    <col min="211" max="217" width="19" style="11" hidden="1" customWidth="1" outlineLevel="1"/>
    <col min="218" max="218" width="22.6640625" style="11" hidden="1" customWidth="1" outlineLevel="1"/>
    <col min="219" max="219" width="22.6640625" style="11" hidden="1" customWidth="1" collapsed="1"/>
    <col min="220" max="226" width="19" style="11" hidden="1" customWidth="1" outlineLevel="1"/>
    <col min="227" max="227" width="28.5546875" style="11" hidden="1" customWidth="1" outlineLevel="1"/>
    <col min="228" max="228" width="33.5546875" style="11" hidden="1" customWidth="1" collapsed="1"/>
    <col min="229" max="229" width="26.33203125" style="11" hidden="1" customWidth="1" outlineLevel="1"/>
    <col min="230" max="230" width="20.33203125" style="183" customWidth="1" collapsed="1"/>
    <col min="231" max="236" width="26.88671875" style="29" hidden="1" customWidth="1" outlineLevel="1"/>
    <col min="237" max="237" width="26.88671875" style="139" hidden="1" customWidth="1" outlineLevel="1"/>
    <col min="238" max="238" width="27.33203125" style="5" hidden="1" customWidth="1" outlineLevel="1"/>
    <col min="239" max="247" width="26.88671875" style="29" hidden="1" customWidth="1" outlineLevel="1"/>
    <col min="248" max="248" width="21.6640625" style="29" customWidth="1" collapsed="1"/>
    <col min="249" max="249" width="22.88671875" style="5" customWidth="1"/>
    <col min="250" max="250" width="16" style="5" customWidth="1"/>
    <col min="251" max="251" width="19.109375" style="12" customWidth="1"/>
    <col min="252" max="252" width="33.88671875" style="5" customWidth="1"/>
    <col min="253" max="253" width="17.88671875" style="32" customWidth="1"/>
    <col min="254" max="254" width="22.88671875" style="5" hidden="1" customWidth="1"/>
    <col min="255" max="256" width="22" style="29" hidden="1" customWidth="1" outlineLevel="1"/>
  </cols>
  <sheetData>
    <row r="1" spans="1:256" ht="46.8" thickBot="1">
      <c r="C1" s="418" t="s">
        <v>0</v>
      </c>
      <c r="AV1" s="7"/>
      <c r="AW1" s="7"/>
      <c r="AX1" s="7"/>
      <c r="AY1" s="7"/>
      <c r="AZ1" s="7"/>
      <c r="BA1" s="7"/>
      <c r="BB1" s="136"/>
      <c r="BC1" s="136"/>
      <c r="BD1" s="7"/>
      <c r="BE1" s="7"/>
      <c r="BF1" s="7"/>
      <c r="BG1" s="7"/>
      <c r="CC1" s="7"/>
      <c r="CD1" s="7"/>
      <c r="CE1" s="7"/>
      <c r="CF1" s="7"/>
      <c r="CG1" s="7"/>
      <c r="CH1" s="7"/>
      <c r="CI1" s="7"/>
      <c r="CJ1" s="7"/>
      <c r="CW1" s="136"/>
      <c r="CX1" s="7"/>
      <c r="CY1" s="7"/>
      <c r="CZ1" s="7"/>
      <c r="DA1" s="7"/>
      <c r="DB1" s="7"/>
      <c r="DC1" s="7"/>
      <c r="DD1" s="136"/>
      <c r="DE1" s="136"/>
      <c r="DF1" s="7"/>
      <c r="DG1" s="7"/>
      <c r="DH1" s="7"/>
      <c r="DI1" s="7"/>
      <c r="DJ1" s="7"/>
      <c r="DK1" s="7"/>
      <c r="DL1" s="136"/>
      <c r="DM1" s="136"/>
      <c r="HW1" s="7"/>
      <c r="HX1" s="7"/>
      <c r="HY1" s="7"/>
      <c r="HZ1" s="7"/>
      <c r="IA1" s="7"/>
      <c r="IB1" s="7"/>
      <c r="IC1" s="136"/>
      <c r="IE1" s="7"/>
      <c r="IF1" s="7"/>
      <c r="IG1" s="7"/>
      <c r="IH1" s="7"/>
      <c r="II1" s="7"/>
      <c r="IJ1" s="7"/>
      <c r="IK1" s="7"/>
      <c r="IL1" s="7"/>
      <c r="IM1" s="7"/>
      <c r="IN1" s="7"/>
      <c r="IU1" s="7"/>
      <c r="IV1" s="7"/>
    </row>
    <row r="2" spans="1:256" s="13" customFormat="1" ht="18">
      <c r="B2" s="718"/>
      <c r="C2" s="435" t="s">
        <v>1</v>
      </c>
      <c r="D2" s="436"/>
      <c r="E2" s="436"/>
      <c r="F2" s="436"/>
      <c r="G2" s="436"/>
      <c r="H2" s="436"/>
      <c r="I2" s="436"/>
      <c r="J2" s="436"/>
      <c r="K2" s="436"/>
      <c r="L2" s="436"/>
      <c r="M2" s="436"/>
      <c r="N2" s="436"/>
      <c r="O2" s="436"/>
      <c r="P2" s="436"/>
      <c r="Q2" s="436"/>
      <c r="R2" s="436"/>
      <c r="S2" s="436"/>
      <c r="T2" s="436"/>
      <c r="U2" s="436"/>
      <c r="V2" s="436"/>
      <c r="W2" s="436"/>
      <c r="X2" s="436"/>
      <c r="Y2" s="436"/>
      <c r="Z2" s="436"/>
      <c r="AA2" s="436"/>
      <c r="AB2" s="436"/>
      <c r="AC2" s="436"/>
      <c r="AD2" s="436"/>
      <c r="AE2" s="436"/>
      <c r="AF2" s="436"/>
      <c r="AG2" s="436"/>
      <c r="AH2" s="436"/>
      <c r="AI2" s="436"/>
      <c r="AJ2" s="436"/>
      <c r="AK2" s="436"/>
      <c r="AL2" s="436"/>
      <c r="AM2" s="437">
        <f>SUM(HT11:HT20)</f>
        <v>0</v>
      </c>
      <c r="AN2" s="438" t="s">
        <v>2</v>
      </c>
      <c r="AS2" s="14"/>
      <c r="AT2" s="15"/>
      <c r="AU2" s="15"/>
      <c r="AV2" s="16"/>
      <c r="AW2" s="16"/>
      <c r="AX2" s="16"/>
      <c r="AY2" s="16"/>
      <c r="AZ2" s="16"/>
      <c r="BA2" s="16"/>
      <c r="BB2" s="137"/>
      <c r="BC2" s="137"/>
      <c r="BD2" s="16"/>
      <c r="BE2" s="16"/>
      <c r="BF2" s="16"/>
      <c r="BG2" s="16"/>
      <c r="BH2" s="17"/>
      <c r="BI2" s="17"/>
      <c r="BJ2" s="17"/>
      <c r="BK2" s="17"/>
      <c r="BL2" s="17"/>
      <c r="BM2" s="17"/>
      <c r="BN2" s="17"/>
      <c r="BO2" s="17"/>
      <c r="BP2" s="17"/>
      <c r="BQ2" s="17"/>
      <c r="BR2" s="17"/>
      <c r="BS2" s="17"/>
      <c r="BT2" s="17"/>
      <c r="BU2" s="17"/>
      <c r="BV2" s="17"/>
      <c r="BW2" s="17"/>
      <c r="BX2" s="17"/>
      <c r="BY2" s="17"/>
      <c r="BZ2" s="17"/>
      <c r="CA2" s="14"/>
      <c r="CB2" s="19"/>
      <c r="CC2" s="16"/>
      <c r="CD2" s="16"/>
      <c r="CE2" s="16"/>
      <c r="CF2" s="16"/>
      <c r="CG2" s="16"/>
      <c r="CH2" s="16"/>
      <c r="CI2" s="16"/>
      <c r="CJ2" s="16"/>
      <c r="CK2" s="15"/>
      <c r="CL2" s="19"/>
      <c r="CM2" s="15"/>
      <c r="CN2" s="15"/>
      <c r="CO2" s="15"/>
      <c r="CP2" s="15"/>
      <c r="CQ2" s="15"/>
      <c r="CR2" s="15"/>
      <c r="CS2" s="15"/>
      <c r="CT2" s="15"/>
      <c r="CU2" s="19"/>
      <c r="CV2" s="19"/>
      <c r="CW2" s="137"/>
      <c r="CX2" s="16"/>
      <c r="CY2" s="16"/>
      <c r="CZ2" s="16"/>
      <c r="DA2" s="16"/>
      <c r="DB2" s="16"/>
      <c r="DC2" s="16"/>
      <c r="DD2" s="137"/>
      <c r="DE2" s="137"/>
      <c r="DF2" s="16"/>
      <c r="DG2" s="16"/>
      <c r="DH2" s="16"/>
      <c r="DI2" s="16"/>
      <c r="DJ2" s="16"/>
      <c r="DK2" s="16"/>
      <c r="DL2" s="137"/>
      <c r="DM2" s="137"/>
      <c r="DN2" s="19"/>
      <c r="DO2" s="137"/>
      <c r="DP2" s="18"/>
      <c r="DQ2" s="15"/>
      <c r="DR2" s="15"/>
      <c r="DS2" s="15"/>
      <c r="DT2" s="15"/>
      <c r="DU2" s="15"/>
      <c r="DV2" s="15"/>
      <c r="DW2" s="15"/>
      <c r="DX2" s="15"/>
      <c r="DY2" s="20"/>
      <c r="DZ2" s="15"/>
      <c r="EA2" s="15"/>
      <c r="EB2" s="15"/>
      <c r="EC2" s="15"/>
      <c r="ED2" s="15"/>
      <c r="EE2" s="15"/>
      <c r="EF2" s="15"/>
      <c r="EG2" s="15"/>
      <c r="EH2" s="20"/>
      <c r="EI2" s="15"/>
      <c r="EJ2" s="15"/>
      <c r="EK2" s="15"/>
      <c r="EL2" s="15"/>
      <c r="EM2" s="15"/>
      <c r="EN2" s="15"/>
      <c r="EO2" s="15"/>
      <c r="EP2" s="15"/>
      <c r="EQ2" s="20"/>
      <c r="ER2" s="15"/>
      <c r="ES2" s="15"/>
      <c r="ET2" s="15"/>
      <c r="EU2" s="15"/>
      <c r="EV2" s="15"/>
      <c r="EW2" s="15"/>
      <c r="EX2" s="15"/>
      <c r="EY2" s="15"/>
      <c r="EZ2" s="20"/>
      <c r="FA2" s="21"/>
      <c r="FB2" s="15"/>
      <c r="FC2" s="15"/>
      <c r="FD2" s="15"/>
      <c r="FE2" s="15"/>
      <c r="FF2" s="15"/>
      <c r="FG2" s="15"/>
      <c r="FH2" s="15"/>
      <c r="FI2" s="20"/>
      <c r="FJ2" s="405"/>
      <c r="FK2" s="15"/>
      <c r="FL2" s="15"/>
      <c r="FM2" s="15"/>
      <c r="FN2" s="15"/>
      <c r="FO2" s="15"/>
      <c r="FP2" s="15"/>
      <c r="FQ2" s="15"/>
      <c r="FR2" s="20"/>
      <c r="FS2" s="15"/>
      <c r="FT2" s="15"/>
      <c r="FU2" s="15"/>
      <c r="FV2" s="15"/>
      <c r="FW2" s="15"/>
      <c r="FX2" s="15"/>
      <c r="FY2" s="15"/>
      <c r="FZ2" s="15"/>
      <c r="GA2" s="20"/>
      <c r="GB2" s="15"/>
      <c r="GC2" s="15"/>
      <c r="GD2" s="15"/>
      <c r="GE2" s="15"/>
      <c r="GF2" s="15"/>
      <c r="GG2" s="15"/>
      <c r="GH2" s="15"/>
      <c r="GI2" s="15"/>
      <c r="GJ2" s="20"/>
      <c r="GK2" s="15"/>
      <c r="GL2" s="15"/>
      <c r="GM2" s="15"/>
      <c r="GN2" s="15"/>
      <c r="GO2" s="15"/>
      <c r="GP2" s="15"/>
      <c r="GQ2" s="15"/>
      <c r="GR2" s="15"/>
      <c r="GS2" s="20"/>
      <c r="GT2" s="15"/>
      <c r="GU2" s="15"/>
      <c r="GV2" s="15"/>
      <c r="GW2" s="15"/>
      <c r="GX2" s="15"/>
      <c r="GY2" s="15"/>
      <c r="GZ2" s="15"/>
      <c r="HA2" s="15"/>
      <c r="HB2" s="20"/>
      <c r="HC2" s="20"/>
      <c r="HD2" s="20"/>
      <c r="HE2" s="20"/>
      <c r="HF2" s="20"/>
      <c r="HG2" s="20"/>
      <c r="HH2" s="20"/>
      <c r="HI2" s="20"/>
      <c r="HJ2" s="20"/>
      <c r="HK2" s="20"/>
      <c r="HL2" s="20"/>
      <c r="HM2" s="20"/>
      <c r="HN2" s="20"/>
      <c r="HO2" s="20"/>
      <c r="HP2" s="20"/>
      <c r="HQ2" s="20"/>
      <c r="HR2" s="20"/>
      <c r="HS2" s="20"/>
      <c r="HT2" s="20"/>
      <c r="HU2" s="20"/>
      <c r="HV2" s="425"/>
      <c r="HW2" s="16"/>
      <c r="HX2" s="16"/>
      <c r="HY2" s="16"/>
      <c r="HZ2" s="16"/>
      <c r="IA2" s="16"/>
      <c r="IB2" s="16"/>
      <c r="IC2" s="137"/>
      <c r="ID2" s="15"/>
      <c r="IE2" s="16"/>
      <c r="IF2" s="16"/>
      <c r="IG2" s="16"/>
      <c r="IH2" s="16"/>
      <c r="II2" s="16"/>
      <c r="IJ2" s="16"/>
      <c r="IK2" s="16"/>
      <c r="IL2" s="16"/>
      <c r="IM2" s="16"/>
      <c r="IN2" s="16"/>
      <c r="IO2" s="15"/>
      <c r="IP2" s="15"/>
      <c r="IQ2" s="21"/>
      <c r="IR2" s="15"/>
      <c r="IS2" s="33"/>
      <c r="IT2" s="15"/>
      <c r="IU2" s="16"/>
      <c r="IV2" s="16"/>
    </row>
    <row r="3" spans="1:256" s="13" customFormat="1" ht="18.600000000000001" thickBot="1">
      <c r="B3" s="718"/>
      <c r="C3" s="439" t="s">
        <v>3</v>
      </c>
      <c r="D3" s="440"/>
      <c r="E3" s="440"/>
      <c r="F3" s="440"/>
      <c r="G3" s="440"/>
      <c r="H3" s="440"/>
      <c r="I3" s="440"/>
      <c r="J3" s="440"/>
      <c r="K3" s="440"/>
      <c r="L3" s="440"/>
      <c r="M3" s="440"/>
      <c r="N3" s="440"/>
      <c r="O3" s="440"/>
      <c r="P3" s="440"/>
      <c r="Q3" s="440"/>
      <c r="R3" s="440"/>
      <c r="S3" s="440"/>
      <c r="T3" s="440"/>
      <c r="U3" s="440"/>
      <c r="V3" s="440"/>
      <c r="W3" s="440"/>
      <c r="X3" s="440"/>
      <c r="Y3" s="440"/>
      <c r="Z3" s="440"/>
      <c r="AA3" s="440"/>
      <c r="AB3" s="440"/>
      <c r="AC3" s="440"/>
      <c r="AD3" s="440"/>
      <c r="AE3" s="440"/>
      <c r="AF3" s="440"/>
      <c r="AG3" s="440"/>
      <c r="AH3" s="440"/>
      <c r="AI3" s="440"/>
      <c r="AJ3" s="440"/>
      <c r="AK3" s="440"/>
      <c r="AL3" s="440"/>
      <c r="AM3" s="441">
        <f>COUNT(B11:B20)</f>
        <v>10</v>
      </c>
      <c r="AN3" s="442" t="s">
        <v>4</v>
      </c>
      <c r="AS3" s="14"/>
      <c r="AT3" s="15"/>
      <c r="AU3" s="15"/>
      <c r="AV3" s="16"/>
      <c r="AW3" s="16"/>
      <c r="AX3" s="16"/>
      <c r="AY3" s="16"/>
      <c r="AZ3" s="16"/>
      <c r="BA3" s="16"/>
      <c r="BB3" s="137"/>
      <c r="BC3" s="137"/>
      <c r="BD3" s="16"/>
      <c r="BE3" s="16"/>
      <c r="BF3" s="16"/>
      <c r="BG3" s="16"/>
      <c r="BH3" s="17"/>
      <c r="BI3" s="17"/>
      <c r="BJ3" s="17"/>
      <c r="BK3" s="17"/>
      <c r="BL3" s="17"/>
      <c r="BM3" s="17"/>
      <c r="BN3" s="17"/>
      <c r="BO3" s="17"/>
      <c r="BP3" s="17"/>
      <c r="BQ3" s="17"/>
      <c r="BR3" s="17"/>
      <c r="BS3" s="17"/>
      <c r="BT3" s="17"/>
      <c r="BU3" s="17"/>
      <c r="BV3" s="17"/>
      <c r="BW3" s="17"/>
      <c r="BX3" s="17"/>
      <c r="BY3" s="17"/>
      <c r="BZ3" s="17"/>
      <c r="CA3" s="14"/>
      <c r="CB3" s="19"/>
      <c r="CC3" s="16"/>
      <c r="CD3" s="16"/>
      <c r="CE3" s="16"/>
      <c r="CF3" s="16"/>
      <c r="CG3" s="16"/>
      <c r="CH3" s="16"/>
      <c r="CI3" s="16"/>
      <c r="CJ3" s="16"/>
      <c r="CK3" s="15"/>
      <c r="CL3" s="19"/>
      <c r="CM3" s="15"/>
      <c r="CN3" s="15"/>
      <c r="CO3" s="15"/>
      <c r="CP3" s="15"/>
      <c r="CQ3" s="15"/>
      <c r="CR3" s="15"/>
      <c r="CS3" s="15"/>
      <c r="CT3" s="15"/>
      <c r="CU3" s="19"/>
      <c r="CV3" s="19"/>
      <c r="CW3" s="137"/>
      <c r="CX3" s="16"/>
      <c r="CY3" s="16"/>
      <c r="CZ3" s="16"/>
      <c r="DA3" s="16"/>
      <c r="DB3" s="16"/>
      <c r="DC3" s="16"/>
      <c r="DD3" s="137"/>
      <c r="DE3" s="137"/>
      <c r="DF3" s="16"/>
      <c r="DG3" s="16"/>
      <c r="DH3" s="16"/>
      <c r="DI3" s="16"/>
      <c r="DJ3" s="16"/>
      <c r="DK3" s="16"/>
      <c r="DL3" s="137"/>
      <c r="DM3" s="137"/>
      <c r="DN3" s="19"/>
      <c r="DO3" s="137"/>
      <c r="DP3" s="18"/>
      <c r="DQ3" s="15"/>
      <c r="DR3" s="15"/>
      <c r="DS3" s="15"/>
      <c r="DT3" s="15"/>
      <c r="DU3" s="15"/>
      <c r="DV3" s="15"/>
      <c r="DW3" s="15"/>
      <c r="DX3" s="15"/>
      <c r="DY3" s="20"/>
      <c r="DZ3" s="15"/>
      <c r="EA3" s="15"/>
      <c r="EB3" s="15"/>
      <c r="EC3" s="15"/>
      <c r="ED3" s="15"/>
      <c r="EE3" s="15"/>
      <c r="EF3" s="15"/>
      <c r="EG3" s="15"/>
      <c r="EH3" s="20"/>
      <c r="EI3" s="15"/>
      <c r="EJ3" s="15"/>
      <c r="EK3" s="15"/>
      <c r="EL3" s="15"/>
      <c r="EM3" s="15"/>
      <c r="EN3" s="15"/>
      <c r="EO3" s="15"/>
      <c r="EP3" s="15"/>
      <c r="EQ3" s="20"/>
      <c r="ER3" s="15"/>
      <c r="ES3" s="15"/>
      <c r="ET3" s="15"/>
      <c r="EU3" s="15"/>
      <c r="EV3" s="15"/>
      <c r="EW3" s="15"/>
      <c r="EX3" s="15"/>
      <c r="EY3" s="15"/>
      <c r="EZ3" s="243"/>
      <c r="FA3" s="21"/>
      <c r="FB3" s="15"/>
      <c r="FC3" s="15"/>
      <c r="FD3" s="15"/>
      <c r="FE3" s="15"/>
      <c r="FF3" s="15"/>
      <c r="FG3" s="15"/>
      <c r="FH3" s="15"/>
      <c r="FI3" s="20"/>
      <c r="FJ3" s="405"/>
      <c r="FK3" s="15"/>
      <c r="FL3" s="15"/>
      <c r="FM3" s="15"/>
      <c r="FN3" s="15"/>
      <c r="FO3" s="15"/>
      <c r="FP3" s="15"/>
      <c r="FQ3" s="15"/>
      <c r="FR3" s="20"/>
      <c r="FS3" s="15"/>
      <c r="FT3" s="15"/>
      <c r="FU3" s="15"/>
      <c r="FV3" s="15"/>
      <c r="FW3" s="15"/>
      <c r="FX3" s="15"/>
      <c r="FY3" s="15"/>
      <c r="FZ3" s="15"/>
      <c r="GA3" s="20"/>
      <c r="GB3" s="15"/>
      <c r="GC3" s="15"/>
      <c r="GD3" s="15"/>
      <c r="GE3" s="15"/>
      <c r="GF3" s="15"/>
      <c r="GG3" s="15"/>
      <c r="GH3" s="15"/>
      <c r="GI3" s="15"/>
      <c r="GJ3" s="20"/>
      <c r="GK3" s="15"/>
      <c r="GL3" s="15"/>
      <c r="GM3" s="15"/>
      <c r="GN3" s="15"/>
      <c r="GO3" s="15"/>
      <c r="GP3" s="15"/>
      <c r="GQ3" s="15"/>
      <c r="GR3" s="15"/>
      <c r="GS3" s="20"/>
      <c r="GT3" s="15"/>
      <c r="GU3" s="15"/>
      <c r="GV3" s="15"/>
      <c r="GW3" s="15"/>
      <c r="GX3" s="15"/>
      <c r="GY3" s="15"/>
      <c r="GZ3" s="15"/>
      <c r="HA3" s="15"/>
      <c r="HB3" s="20"/>
      <c r="HC3" s="20"/>
      <c r="HD3" s="20"/>
      <c r="HE3" s="20"/>
      <c r="HF3" s="20"/>
      <c r="HG3" s="20"/>
      <c r="HH3" s="20"/>
      <c r="HI3" s="20"/>
      <c r="HJ3" s="20"/>
      <c r="HK3" s="20"/>
      <c r="HL3" s="20"/>
      <c r="HM3" s="20"/>
      <c r="HN3" s="20"/>
      <c r="HO3" s="20"/>
      <c r="HP3" s="20"/>
      <c r="HQ3" s="20"/>
      <c r="HR3" s="20"/>
      <c r="HS3" s="20"/>
      <c r="HT3" s="20"/>
      <c r="HU3" s="20"/>
      <c r="HV3" s="425"/>
      <c r="HW3" s="16"/>
      <c r="HX3" s="16"/>
      <c r="HY3" s="16"/>
      <c r="HZ3" s="16"/>
      <c r="IA3" s="16"/>
      <c r="IB3" s="16"/>
      <c r="IC3" s="137"/>
      <c r="ID3" s="15"/>
      <c r="IE3" s="16"/>
      <c r="IF3" s="16"/>
      <c r="IG3" s="16"/>
      <c r="IH3" s="16"/>
      <c r="II3" s="16"/>
      <c r="IJ3" s="16"/>
      <c r="IK3" s="16"/>
      <c r="IL3" s="16"/>
      <c r="IM3" s="16"/>
      <c r="IN3" s="16"/>
      <c r="IO3" s="15"/>
      <c r="IP3" s="15"/>
      <c r="IQ3" s="21"/>
      <c r="IR3" s="15"/>
      <c r="IS3" s="33"/>
      <c r="IT3" s="15"/>
      <c r="IU3" s="16"/>
      <c r="IV3" s="16"/>
    </row>
    <row r="4" spans="1:256" ht="16.95" customHeight="1" thickBot="1">
      <c r="C4" s="734"/>
      <c r="AV4" s="7"/>
      <c r="AW4" s="7"/>
      <c r="AX4" s="7"/>
      <c r="AY4" s="7"/>
      <c r="AZ4" s="7"/>
      <c r="BA4" s="7"/>
      <c r="BB4" s="136"/>
      <c r="BC4" s="136"/>
      <c r="BD4" s="7"/>
      <c r="BE4" s="7"/>
      <c r="BF4" s="7"/>
      <c r="BG4" s="7"/>
      <c r="CC4" s="7"/>
      <c r="CD4" s="7"/>
      <c r="CE4" s="7"/>
      <c r="CF4" s="7"/>
      <c r="CG4" s="7"/>
      <c r="CH4" s="7"/>
      <c r="CI4" s="7"/>
      <c r="CJ4" s="7"/>
      <c r="CW4" s="136"/>
      <c r="CX4" s="7"/>
      <c r="CY4" s="7"/>
      <c r="CZ4" s="7"/>
      <c r="DA4" s="7"/>
      <c r="DB4" s="7"/>
      <c r="DC4" s="7"/>
      <c r="DD4" s="136"/>
      <c r="DE4" s="136"/>
      <c r="DF4" s="7"/>
      <c r="DG4" s="7"/>
      <c r="DH4" s="7"/>
      <c r="DI4" s="7"/>
      <c r="DJ4" s="7"/>
      <c r="DK4" s="7"/>
      <c r="DL4" s="136"/>
      <c r="DM4" s="136"/>
      <c r="HW4" s="7"/>
      <c r="HX4" s="7"/>
      <c r="HY4" s="7"/>
      <c r="HZ4" s="7"/>
      <c r="IA4" s="7"/>
      <c r="IB4" s="7"/>
      <c r="IC4" s="136"/>
      <c r="IE4" s="7"/>
      <c r="IF4" s="7"/>
      <c r="IG4" s="7"/>
      <c r="IH4" s="7"/>
      <c r="II4" s="7"/>
      <c r="IJ4" s="7"/>
      <c r="IK4" s="7"/>
      <c r="IL4" s="7"/>
      <c r="IM4" s="7"/>
      <c r="IN4" s="7"/>
      <c r="IU4" s="7"/>
      <c r="IV4" s="7"/>
    </row>
    <row r="5" spans="1:256" s="13" customFormat="1" ht="23.4" thickBot="1">
      <c r="B5" s="718"/>
      <c r="C5" s="759" t="s">
        <v>878</v>
      </c>
      <c r="D5" s="760"/>
      <c r="E5" s="760"/>
      <c r="F5" s="760"/>
      <c r="G5" s="760"/>
      <c r="H5" s="760"/>
      <c r="I5" s="760"/>
      <c r="J5" s="760"/>
      <c r="K5" s="760"/>
      <c r="L5" s="760"/>
      <c r="M5" s="760"/>
      <c r="N5" s="760"/>
      <c r="O5" s="760"/>
      <c r="P5" s="760"/>
      <c r="Q5" s="760"/>
      <c r="R5" s="760"/>
      <c r="S5" s="760"/>
      <c r="T5" s="760"/>
      <c r="U5" s="760"/>
      <c r="V5" s="760"/>
      <c r="W5" s="760"/>
      <c r="X5" s="760"/>
      <c r="Y5" s="760"/>
      <c r="Z5" s="760"/>
      <c r="AA5" s="760"/>
      <c r="AB5" s="760"/>
      <c r="AC5" s="760"/>
      <c r="AD5" s="760"/>
      <c r="AE5" s="760"/>
      <c r="AF5" s="760"/>
      <c r="AG5" s="760"/>
      <c r="AH5" s="760"/>
      <c r="AI5" s="760"/>
      <c r="AJ5" s="760"/>
      <c r="AK5" s="760"/>
      <c r="AL5" s="760"/>
      <c r="AM5" s="761"/>
      <c r="AN5" s="761"/>
      <c r="AO5" s="761"/>
      <c r="AP5" s="761"/>
      <c r="AQ5" s="761"/>
      <c r="AR5" s="762"/>
      <c r="AS5" s="763"/>
      <c r="AT5" s="764"/>
      <c r="AU5" s="764"/>
      <c r="AV5" s="765"/>
      <c r="AW5" s="765"/>
      <c r="AX5" s="765"/>
      <c r="AY5" s="765"/>
      <c r="AZ5" s="765"/>
      <c r="BA5" s="765"/>
      <c r="BB5" s="766"/>
      <c r="BC5" s="766"/>
      <c r="BD5" s="765"/>
      <c r="BE5" s="765"/>
      <c r="BF5" s="765"/>
      <c r="BG5" s="765"/>
      <c r="BH5" s="760"/>
      <c r="BI5" s="760"/>
      <c r="BJ5" s="760"/>
      <c r="BK5" s="760"/>
      <c r="BL5" s="760"/>
      <c r="BM5" s="760"/>
      <c r="BN5" s="760"/>
      <c r="BO5" s="760"/>
      <c r="BP5" s="760"/>
      <c r="BQ5" s="760"/>
      <c r="BR5" s="760"/>
      <c r="BS5" s="760"/>
      <c r="BT5" s="760"/>
      <c r="BU5" s="760"/>
      <c r="BV5" s="760"/>
      <c r="BW5" s="760"/>
      <c r="BX5" s="760"/>
      <c r="BY5" s="760"/>
      <c r="BZ5" s="760"/>
      <c r="CA5" s="767"/>
      <c r="CB5" s="768" t="s">
        <v>899</v>
      </c>
      <c r="CC5" s="769"/>
      <c r="CD5" s="769"/>
      <c r="CE5" s="769"/>
      <c r="CF5" s="769"/>
      <c r="CG5" s="769"/>
      <c r="CH5" s="769"/>
      <c r="CI5" s="769"/>
      <c r="CJ5" s="769"/>
      <c r="CK5" s="770"/>
      <c r="CL5" s="771"/>
      <c r="CM5" s="770"/>
      <c r="CN5" s="770"/>
      <c r="CO5" s="770"/>
      <c r="CP5" s="770"/>
      <c r="CQ5" s="770"/>
      <c r="CR5" s="770"/>
      <c r="CS5" s="770"/>
      <c r="CT5" s="770"/>
      <c r="CU5" s="772"/>
      <c r="CV5" s="773" t="s">
        <v>879</v>
      </c>
      <c r="CW5" s="774"/>
      <c r="CX5" s="775"/>
      <c r="CY5" s="775"/>
      <c r="CZ5" s="775"/>
      <c r="DA5" s="775"/>
      <c r="DB5" s="775"/>
      <c r="DC5" s="775"/>
      <c r="DD5" s="774"/>
      <c r="DE5" s="774"/>
      <c r="DF5" s="775"/>
      <c r="DG5" s="775"/>
      <c r="DH5" s="775"/>
      <c r="DI5" s="775"/>
      <c r="DJ5" s="775"/>
      <c r="DK5" s="775"/>
      <c r="DL5" s="774"/>
      <c r="DM5" s="774"/>
      <c r="DN5" s="776"/>
      <c r="DO5" s="774"/>
      <c r="DP5" s="777"/>
      <c r="DQ5" s="778"/>
      <c r="DR5" s="778"/>
      <c r="DS5" s="778"/>
      <c r="DT5" s="778"/>
      <c r="DU5" s="778"/>
      <c r="DV5" s="778"/>
      <c r="DW5" s="778"/>
      <c r="DX5" s="778"/>
      <c r="DY5" s="779"/>
      <c r="DZ5" s="778"/>
      <c r="EA5" s="778"/>
      <c r="EB5" s="778"/>
      <c r="EC5" s="778"/>
      <c r="ED5" s="778"/>
      <c r="EE5" s="778"/>
      <c r="EF5" s="778"/>
      <c r="EG5" s="778"/>
      <c r="EH5" s="779"/>
      <c r="EI5" s="778"/>
      <c r="EJ5" s="778"/>
      <c r="EK5" s="778"/>
      <c r="EL5" s="778"/>
      <c r="EM5" s="778"/>
      <c r="EN5" s="778"/>
      <c r="EO5" s="778"/>
      <c r="EP5" s="778"/>
      <c r="EQ5" s="779"/>
      <c r="ER5" s="778"/>
      <c r="ES5" s="778"/>
      <c r="ET5" s="778"/>
      <c r="EU5" s="778"/>
      <c r="EV5" s="778"/>
      <c r="EW5" s="778"/>
      <c r="EX5" s="778"/>
      <c r="EY5" s="778"/>
      <c r="EZ5" s="779"/>
      <c r="FA5" s="780"/>
      <c r="FB5" s="778"/>
      <c r="FC5" s="778"/>
      <c r="FD5" s="778"/>
      <c r="FE5" s="778"/>
      <c r="FF5" s="778"/>
      <c r="FG5" s="778"/>
      <c r="FH5" s="778"/>
      <c r="FI5" s="779"/>
      <c r="FJ5" s="781"/>
      <c r="FK5" s="778"/>
      <c r="FL5" s="778"/>
      <c r="FM5" s="778"/>
      <c r="FN5" s="778"/>
      <c r="FO5" s="778"/>
      <c r="FP5" s="778"/>
      <c r="FQ5" s="778"/>
      <c r="FR5" s="779"/>
      <c r="FS5" s="778"/>
      <c r="FT5" s="778"/>
      <c r="FU5" s="778"/>
      <c r="FV5" s="778"/>
      <c r="FW5" s="778"/>
      <c r="FX5" s="778"/>
      <c r="FY5" s="778"/>
      <c r="FZ5" s="778"/>
      <c r="GA5" s="779"/>
      <c r="GB5" s="778"/>
      <c r="GC5" s="778"/>
      <c r="GD5" s="778"/>
      <c r="GE5" s="778"/>
      <c r="GF5" s="778"/>
      <c r="GG5" s="778"/>
      <c r="GH5" s="778"/>
      <c r="GI5" s="778"/>
      <c r="GJ5" s="779"/>
      <c r="GK5" s="778"/>
      <c r="GL5" s="778"/>
      <c r="GM5" s="778"/>
      <c r="GN5" s="778"/>
      <c r="GO5" s="778"/>
      <c r="GP5" s="778"/>
      <c r="GQ5" s="778"/>
      <c r="GR5" s="778"/>
      <c r="GS5" s="779"/>
      <c r="GT5" s="778"/>
      <c r="GU5" s="778"/>
      <c r="GV5" s="778"/>
      <c r="GW5" s="778"/>
      <c r="GX5" s="778"/>
      <c r="GY5" s="778"/>
      <c r="GZ5" s="778"/>
      <c r="HA5" s="778"/>
      <c r="HB5" s="779"/>
      <c r="HC5" s="779"/>
      <c r="HD5" s="779"/>
      <c r="HE5" s="779"/>
      <c r="HF5" s="779"/>
      <c r="HG5" s="779"/>
      <c r="HH5" s="779"/>
      <c r="HI5" s="779"/>
      <c r="HJ5" s="779"/>
      <c r="HK5" s="779"/>
      <c r="HL5" s="779"/>
      <c r="HM5" s="779"/>
      <c r="HN5" s="779"/>
      <c r="HO5" s="779"/>
      <c r="HP5" s="779"/>
      <c r="HQ5" s="779"/>
      <c r="HR5" s="779"/>
      <c r="HS5" s="779"/>
      <c r="HT5" s="779"/>
      <c r="HU5" s="779"/>
      <c r="HV5" s="782"/>
      <c r="HW5" s="735"/>
      <c r="HX5" s="735"/>
      <c r="HY5" s="735"/>
      <c r="HZ5" s="735"/>
      <c r="IA5" s="735"/>
      <c r="IB5" s="735"/>
      <c r="IC5" s="736"/>
      <c r="ID5" s="737"/>
      <c r="IE5" s="735"/>
      <c r="IF5" s="735"/>
      <c r="IG5" s="735"/>
      <c r="IH5" s="735"/>
      <c r="II5" s="735"/>
      <c r="IJ5" s="735"/>
      <c r="IK5" s="735"/>
      <c r="IL5" s="735"/>
      <c r="IM5" s="735"/>
      <c r="IN5" s="783" t="s">
        <v>880</v>
      </c>
      <c r="IO5" s="784"/>
      <c r="IP5" s="784"/>
      <c r="IQ5" s="785"/>
      <c r="IR5" s="784"/>
      <c r="IS5" s="786"/>
      <c r="IT5" s="22"/>
      <c r="IU5" s="23"/>
      <c r="IV5" s="23"/>
    </row>
    <row r="6" spans="1:256" s="24" customFormat="1" ht="82.2" customHeight="1">
      <c r="B6" s="719"/>
      <c r="C6" s="837" t="s">
        <v>5</v>
      </c>
      <c r="D6" s="835" t="s">
        <v>241</v>
      </c>
      <c r="E6" s="835"/>
      <c r="F6" s="835"/>
      <c r="G6" s="835"/>
      <c r="H6" s="835"/>
      <c r="I6" s="835"/>
      <c r="J6" s="835"/>
      <c r="K6" s="835"/>
      <c r="L6" s="835"/>
      <c r="M6" s="835"/>
      <c r="N6" s="835"/>
      <c r="O6" s="835"/>
      <c r="P6" s="835"/>
      <c r="Q6" s="835"/>
      <c r="R6" s="835"/>
      <c r="S6" s="835"/>
      <c r="T6" s="835"/>
      <c r="U6" s="835"/>
      <c r="V6" s="835"/>
      <c r="W6" s="835"/>
      <c r="X6" s="835"/>
      <c r="Y6" s="835"/>
      <c r="Z6" s="835"/>
      <c r="AA6" s="835"/>
      <c r="AB6" s="835"/>
      <c r="AC6" s="835"/>
      <c r="AD6" s="835"/>
      <c r="AE6" s="835"/>
      <c r="AF6" s="835"/>
      <c r="AG6" s="835"/>
      <c r="AH6" s="835"/>
      <c r="AI6" s="835"/>
      <c r="AJ6" s="835"/>
      <c r="AK6" s="835"/>
      <c r="AL6" s="835"/>
      <c r="AM6" s="840" t="s">
        <v>6</v>
      </c>
      <c r="AN6" s="840"/>
      <c r="AO6" s="840" t="s">
        <v>872</v>
      </c>
      <c r="AP6" s="840" t="s">
        <v>905</v>
      </c>
      <c r="AQ6" s="840" t="s">
        <v>539</v>
      </c>
      <c r="AR6" s="840" t="s">
        <v>870</v>
      </c>
      <c r="AS6" s="840" t="s">
        <v>894</v>
      </c>
      <c r="AT6" s="840" t="s">
        <v>871</v>
      </c>
      <c r="AU6" s="840" t="s">
        <v>895</v>
      </c>
      <c r="AV6" s="835" t="s">
        <v>288</v>
      </c>
      <c r="AW6" s="835"/>
      <c r="AX6" s="835"/>
      <c r="AY6" s="835"/>
      <c r="AZ6" s="835"/>
      <c r="BA6" s="835"/>
      <c r="BB6" s="848" t="s">
        <v>893</v>
      </c>
      <c r="BC6" s="848" t="s">
        <v>903</v>
      </c>
      <c r="BD6" s="835" t="s">
        <v>7</v>
      </c>
      <c r="BE6" s="835"/>
      <c r="BF6" s="835"/>
      <c r="BG6" s="835"/>
      <c r="BH6" s="848" t="s">
        <v>904</v>
      </c>
      <c r="BI6" s="835" t="s">
        <v>203</v>
      </c>
      <c r="BJ6" s="835"/>
      <c r="BK6" s="835"/>
      <c r="BL6" s="835"/>
      <c r="BM6" s="835"/>
      <c r="BN6" s="835"/>
      <c r="BO6" s="835"/>
      <c r="BP6" s="835"/>
      <c r="BQ6" s="835"/>
      <c r="BR6" s="835"/>
      <c r="BS6" s="835"/>
      <c r="BT6" s="835"/>
      <c r="BU6" s="835"/>
      <c r="BV6" s="835"/>
      <c r="BW6" s="835"/>
      <c r="BX6" s="835"/>
      <c r="BY6" s="835"/>
      <c r="BZ6" s="848" t="s">
        <v>906</v>
      </c>
      <c r="CA6" s="848" t="s">
        <v>217</v>
      </c>
      <c r="CB6" s="851" t="s">
        <v>8</v>
      </c>
      <c r="CC6" s="846" t="s">
        <v>479</v>
      </c>
      <c r="CD6" s="846"/>
      <c r="CE6" s="846"/>
      <c r="CF6" s="846"/>
      <c r="CG6" s="846"/>
      <c r="CH6" s="846"/>
      <c r="CI6" s="843" t="s">
        <v>897</v>
      </c>
      <c r="CJ6" s="843" t="s">
        <v>900</v>
      </c>
      <c r="CK6" s="851" t="s">
        <v>877</v>
      </c>
      <c r="CL6" s="851" t="s">
        <v>9</v>
      </c>
      <c r="CM6" s="851" t="s">
        <v>813</v>
      </c>
      <c r="CN6" s="851" t="s">
        <v>467</v>
      </c>
      <c r="CO6" s="851" t="s">
        <v>814</v>
      </c>
      <c r="CP6" s="851" t="s">
        <v>493</v>
      </c>
      <c r="CQ6" s="851" t="s">
        <v>494</v>
      </c>
      <c r="CR6" s="851" t="s">
        <v>491</v>
      </c>
      <c r="CS6" s="851" t="s">
        <v>512</v>
      </c>
      <c r="CT6" s="851" t="s">
        <v>475</v>
      </c>
      <c r="CU6" s="851" t="s">
        <v>898</v>
      </c>
      <c r="CV6" s="1" t="s">
        <v>891</v>
      </c>
      <c r="CW6" s="1" t="s">
        <v>436</v>
      </c>
      <c r="CX6" s="1"/>
      <c r="CY6" s="1"/>
      <c r="CZ6" s="1"/>
      <c r="DA6" s="1"/>
      <c r="DB6" s="1"/>
      <c r="DC6" s="1"/>
      <c r="DD6" s="1" t="s">
        <v>873</v>
      </c>
      <c r="DE6" s="1" t="s">
        <v>438</v>
      </c>
      <c r="DF6" s="1"/>
      <c r="DG6" s="1"/>
      <c r="DH6" s="1"/>
      <c r="DI6" s="1"/>
      <c r="DJ6" s="1"/>
      <c r="DK6" s="1"/>
      <c r="DL6" s="1" t="s">
        <v>874</v>
      </c>
      <c r="DM6" s="1" t="s">
        <v>875</v>
      </c>
      <c r="DN6" s="832" t="s">
        <v>881</v>
      </c>
      <c r="DO6" s="832" t="s">
        <v>882</v>
      </c>
      <c r="DP6" s="1" t="s">
        <v>876</v>
      </c>
      <c r="DQ6" s="831" t="s">
        <v>10</v>
      </c>
      <c r="DR6" s="831"/>
      <c r="DS6" s="831"/>
      <c r="DT6" s="831"/>
      <c r="DU6" s="831"/>
      <c r="DV6" s="831"/>
      <c r="DW6" s="831"/>
      <c r="DX6" s="831"/>
      <c r="DY6" s="831"/>
      <c r="DZ6" s="831" t="s">
        <v>10</v>
      </c>
      <c r="EA6" s="831"/>
      <c r="EB6" s="831"/>
      <c r="EC6" s="831"/>
      <c r="ED6" s="831"/>
      <c r="EE6" s="831"/>
      <c r="EF6" s="831"/>
      <c r="EG6" s="831"/>
      <c r="EH6" s="831"/>
      <c r="EI6" s="831" t="s">
        <v>10</v>
      </c>
      <c r="EJ6" s="831"/>
      <c r="EK6" s="831"/>
      <c r="EL6" s="831"/>
      <c r="EM6" s="831"/>
      <c r="EN6" s="831"/>
      <c r="EO6" s="831"/>
      <c r="EP6" s="831"/>
      <c r="EQ6" s="831"/>
      <c r="ER6" s="831" t="s">
        <v>10</v>
      </c>
      <c r="ES6" s="831"/>
      <c r="ET6" s="831"/>
      <c r="EU6" s="831"/>
      <c r="EV6" s="831"/>
      <c r="EW6" s="831"/>
      <c r="EX6" s="831"/>
      <c r="EY6" s="831"/>
      <c r="EZ6" s="831"/>
      <c r="FA6" s="831" t="s">
        <v>10</v>
      </c>
      <c r="FB6" s="831"/>
      <c r="FC6" s="831"/>
      <c r="FD6" s="831"/>
      <c r="FE6" s="831"/>
      <c r="FF6" s="831"/>
      <c r="FG6" s="831"/>
      <c r="FH6" s="831"/>
      <c r="FI6" s="831"/>
      <c r="FJ6" s="831" t="s">
        <v>10</v>
      </c>
      <c r="FK6" s="831"/>
      <c r="FL6" s="831"/>
      <c r="FM6" s="831"/>
      <c r="FN6" s="831"/>
      <c r="FO6" s="831"/>
      <c r="FP6" s="831"/>
      <c r="FQ6" s="831"/>
      <c r="FR6" s="831"/>
      <c r="FS6" s="831" t="s">
        <v>10</v>
      </c>
      <c r="FT6" s="831"/>
      <c r="FU6" s="831"/>
      <c r="FV6" s="831"/>
      <c r="FW6" s="831"/>
      <c r="FX6" s="831"/>
      <c r="FY6" s="831"/>
      <c r="FZ6" s="831"/>
      <c r="GA6" s="831"/>
      <c r="GB6" s="831" t="s">
        <v>10</v>
      </c>
      <c r="GC6" s="831"/>
      <c r="GD6" s="831"/>
      <c r="GE6" s="831"/>
      <c r="GF6" s="831"/>
      <c r="GG6" s="831"/>
      <c r="GH6" s="831"/>
      <c r="GI6" s="831"/>
      <c r="GJ6" s="831"/>
      <c r="GK6" s="831" t="s">
        <v>10</v>
      </c>
      <c r="GL6" s="831"/>
      <c r="GM6" s="831"/>
      <c r="GN6" s="831"/>
      <c r="GO6" s="831"/>
      <c r="GP6" s="831"/>
      <c r="GQ6" s="831"/>
      <c r="GR6" s="831"/>
      <c r="GS6" s="831"/>
      <c r="GT6" s="831" t="s">
        <v>10</v>
      </c>
      <c r="GU6" s="831"/>
      <c r="GV6" s="831"/>
      <c r="GW6" s="831"/>
      <c r="GX6" s="831"/>
      <c r="GY6" s="831"/>
      <c r="GZ6" s="831"/>
      <c r="HA6" s="831"/>
      <c r="HB6" s="831"/>
      <c r="HC6" s="831" t="s">
        <v>10</v>
      </c>
      <c r="HD6" s="831"/>
      <c r="HE6" s="831"/>
      <c r="HF6" s="831"/>
      <c r="HG6" s="831"/>
      <c r="HH6" s="831"/>
      <c r="HI6" s="831"/>
      <c r="HJ6" s="831"/>
      <c r="HK6" s="831"/>
      <c r="HL6" s="831" t="s">
        <v>10</v>
      </c>
      <c r="HM6" s="831"/>
      <c r="HN6" s="831"/>
      <c r="HO6" s="831"/>
      <c r="HP6" s="831"/>
      <c r="HQ6" s="831"/>
      <c r="HR6" s="831"/>
      <c r="HS6" s="831"/>
      <c r="HT6" s="831"/>
      <c r="HU6" s="833" t="s">
        <v>759</v>
      </c>
      <c r="HV6" s="1" t="s">
        <v>901</v>
      </c>
      <c r="HW6" s="835" t="s">
        <v>495</v>
      </c>
      <c r="HX6" s="835" t="s">
        <v>496</v>
      </c>
      <c r="HY6" s="835" t="s">
        <v>497</v>
      </c>
      <c r="HZ6" s="835" t="s">
        <v>498</v>
      </c>
      <c r="IA6" s="835" t="s">
        <v>499</v>
      </c>
      <c r="IB6" s="835" t="s">
        <v>500</v>
      </c>
      <c r="IC6" s="835" t="s">
        <v>501</v>
      </c>
      <c r="ID6" s="835" t="s">
        <v>510</v>
      </c>
      <c r="IE6" s="835" t="s">
        <v>489</v>
      </c>
      <c r="IF6" s="835" t="s">
        <v>490</v>
      </c>
      <c r="IG6" s="815"/>
      <c r="IH6" s="815"/>
      <c r="II6" s="815"/>
      <c r="IJ6" s="815"/>
      <c r="IK6" s="815"/>
      <c r="IL6" s="815"/>
      <c r="IM6" s="815"/>
      <c r="IN6" s="821" t="s">
        <v>538</v>
      </c>
      <c r="IO6" s="821" t="s">
        <v>857</v>
      </c>
      <c r="IP6" s="821" t="s">
        <v>12</v>
      </c>
      <c r="IQ6" s="821" t="s">
        <v>13</v>
      </c>
      <c r="IR6" s="821" t="s">
        <v>896</v>
      </c>
      <c r="IS6" s="826" t="s">
        <v>11</v>
      </c>
      <c r="IT6" s="829" t="s">
        <v>758</v>
      </c>
      <c r="IU6" s="824" t="s">
        <v>242</v>
      </c>
      <c r="IV6" s="824"/>
    </row>
    <row r="7" spans="1:256" s="25" customFormat="1" ht="60.6" customHeight="1">
      <c r="B7" s="719"/>
      <c r="C7" s="838"/>
      <c r="D7" s="836"/>
      <c r="E7" s="836"/>
      <c r="F7" s="836"/>
      <c r="G7" s="836"/>
      <c r="H7" s="836"/>
      <c r="I7" s="836"/>
      <c r="J7" s="836"/>
      <c r="K7" s="836"/>
      <c r="L7" s="836"/>
      <c r="M7" s="836"/>
      <c r="N7" s="836"/>
      <c r="O7" s="836"/>
      <c r="P7" s="836"/>
      <c r="Q7" s="836"/>
      <c r="R7" s="836"/>
      <c r="S7" s="836"/>
      <c r="T7" s="836"/>
      <c r="U7" s="836"/>
      <c r="V7" s="836"/>
      <c r="W7" s="836"/>
      <c r="X7" s="836"/>
      <c r="Y7" s="836"/>
      <c r="Z7" s="836"/>
      <c r="AA7" s="836"/>
      <c r="AB7" s="836"/>
      <c r="AC7" s="836"/>
      <c r="AD7" s="836"/>
      <c r="AE7" s="836"/>
      <c r="AF7" s="836"/>
      <c r="AG7" s="836"/>
      <c r="AH7" s="836"/>
      <c r="AI7" s="836"/>
      <c r="AJ7" s="836"/>
      <c r="AK7" s="836"/>
      <c r="AL7" s="836"/>
      <c r="AM7" s="841"/>
      <c r="AN7" s="841"/>
      <c r="AO7" s="841"/>
      <c r="AP7" s="841"/>
      <c r="AQ7" s="841"/>
      <c r="AR7" s="841"/>
      <c r="AS7" s="841"/>
      <c r="AT7" s="841"/>
      <c r="AU7" s="841"/>
      <c r="AV7" s="836"/>
      <c r="AW7" s="836"/>
      <c r="AX7" s="836"/>
      <c r="AY7" s="836"/>
      <c r="AZ7" s="836"/>
      <c r="BA7" s="836"/>
      <c r="BB7" s="849"/>
      <c r="BC7" s="849"/>
      <c r="BD7" s="836"/>
      <c r="BE7" s="836"/>
      <c r="BF7" s="836"/>
      <c r="BG7" s="836"/>
      <c r="BH7" s="849"/>
      <c r="BI7" s="836"/>
      <c r="BJ7" s="836"/>
      <c r="BK7" s="836"/>
      <c r="BL7" s="836"/>
      <c r="BM7" s="836"/>
      <c r="BN7" s="836"/>
      <c r="BO7" s="836"/>
      <c r="BP7" s="836"/>
      <c r="BQ7" s="836"/>
      <c r="BR7" s="836"/>
      <c r="BS7" s="836"/>
      <c r="BT7" s="836"/>
      <c r="BU7" s="836"/>
      <c r="BV7" s="836"/>
      <c r="BW7" s="836"/>
      <c r="BX7" s="836"/>
      <c r="BY7" s="836"/>
      <c r="BZ7" s="849"/>
      <c r="CA7" s="849"/>
      <c r="CB7" s="852"/>
      <c r="CC7" s="847"/>
      <c r="CD7" s="847"/>
      <c r="CE7" s="847"/>
      <c r="CF7" s="847"/>
      <c r="CG7" s="847"/>
      <c r="CH7" s="847"/>
      <c r="CI7" s="844"/>
      <c r="CJ7" s="844"/>
      <c r="CK7" s="852"/>
      <c r="CL7" s="852"/>
      <c r="CM7" s="852"/>
      <c r="CN7" s="852"/>
      <c r="CO7" s="852"/>
      <c r="CP7" s="852"/>
      <c r="CQ7" s="852"/>
      <c r="CR7" s="852"/>
      <c r="CS7" s="852"/>
      <c r="CT7" s="852"/>
      <c r="CU7" s="852"/>
      <c r="CV7" s="2"/>
      <c r="CW7" s="2"/>
      <c r="CX7" s="2"/>
      <c r="CY7" s="2"/>
      <c r="CZ7" s="2"/>
      <c r="DA7" s="2"/>
      <c r="DB7" s="2"/>
      <c r="DC7" s="2"/>
      <c r="DD7" s="2"/>
      <c r="DE7" s="2"/>
      <c r="DF7" s="2"/>
      <c r="DG7" s="2"/>
      <c r="DH7" s="2"/>
      <c r="DI7" s="2"/>
      <c r="DJ7" s="2"/>
      <c r="DK7" s="2"/>
      <c r="DL7" s="2"/>
      <c r="DM7" s="2"/>
      <c r="DN7" s="832"/>
      <c r="DO7" s="832"/>
      <c r="DP7" s="2"/>
      <c r="DQ7" s="832" t="s">
        <v>902</v>
      </c>
      <c r="DR7" s="832"/>
      <c r="DS7" s="832"/>
      <c r="DT7" s="832"/>
      <c r="DU7" s="832"/>
      <c r="DV7" s="832"/>
      <c r="DW7" s="832"/>
      <c r="DX7" s="832"/>
      <c r="DY7" s="832"/>
      <c r="DZ7" s="832" t="s">
        <v>887</v>
      </c>
      <c r="EA7" s="832"/>
      <c r="EB7" s="832"/>
      <c r="EC7" s="832"/>
      <c r="ED7" s="832"/>
      <c r="EE7" s="832"/>
      <c r="EF7" s="832"/>
      <c r="EG7" s="832"/>
      <c r="EH7" s="832"/>
      <c r="EI7" s="832" t="s">
        <v>888</v>
      </c>
      <c r="EJ7" s="832"/>
      <c r="EK7" s="832"/>
      <c r="EL7" s="832"/>
      <c r="EM7" s="832"/>
      <c r="EN7" s="832"/>
      <c r="EO7" s="832"/>
      <c r="EP7" s="832"/>
      <c r="EQ7" s="832"/>
      <c r="ER7" s="832" t="s">
        <v>883</v>
      </c>
      <c r="ES7" s="832"/>
      <c r="ET7" s="832"/>
      <c r="EU7" s="832"/>
      <c r="EV7" s="832"/>
      <c r="EW7" s="832"/>
      <c r="EX7" s="832"/>
      <c r="EY7" s="832"/>
      <c r="EZ7" s="832"/>
      <c r="FA7" s="832" t="s">
        <v>884</v>
      </c>
      <c r="FB7" s="832"/>
      <c r="FC7" s="832"/>
      <c r="FD7" s="832"/>
      <c r="FE7" s="832"/>
      <c r="FF7" s="832"/>
      <c r="FG7" s="832"/>
      <c r="FH7" s="832"/>
      <c r="FI7" s="832"/>
      <c r="FJ7" s="832" t="s">
        <v>885</v>
      </c>
      <c r="FK7" s="832"/>
      <c r="FL7" s="832"/>
      <c r="FM7" s="832"/>
      <c r="FN7" s="832"/>
      <c r="FO7" s="832"/>
      <c r="FP7" s="832"/>
      <c r="FQ7" s="832"/>
      <c r="FR7" s="832"/>
      <c r="FS7" s="832" t="s">
        <v>886</v>
      </c>
      <c r="FT7" s="832"/>
      <c r="FU7" s="832"/>
      <c r="FV7" s="832"/>
      <c r="FW7" s="832"/>
      <c r="FX7" s="832"/>
      <c r="FY7" s="832"/>
      <c r="FZ7" s="832"/>
      <c r="GA7" s="832"/>
      <c r="GB7" s="832" t="s">
        <v>889</v>
      </c>
      <c r="GC7" s="832"/>
      <c r="GD7" s="832"/>
      <c r="GE7" s="832"/>
      <c r="GF7" s="832"/>
      <c r="GG7" s="832"/>
      <c r="GH7" s="832"/>
      <c r="GI7" s="832"/>
      <c r="GJ7" s="832"/>
      <c r="GK7" s="832" t="s">
        <v>890</v>
      </c>
      <c r="GL7" s="832"/>
      <c r="GM7" s="832"/>
      <c r="GN7" s="832"/>
      <c r="GO7" s="832"/>
      <c r="GP7" s="832"/>
      <c r="GQ7" s="832"/>
      <c r="GR7" s="832"/>
      <c r="GS7" s="832"/>
      <c r="GT7" s="832" t="s">
        <v>892</v>
      </c>
      <c r="GU7" s="832"/>
      <c r="GV7" s="832"/>
      <c r="GW7" s="832"/>
      <c r="GX7" s="832"/>
      <c r="GY7" s="832"/>
      <c r="GZ7" s="832"/>
      <c r="HA7" s="832"/>
      <c r="HB7" s="832"/>
      <c r="HC7" s="854" t="s">
        <v>224</v>
      </c>
      <c r="HD7" s="854"/>
      <c r="HE7" s="854"/>
      <c r="HF7" s="854"/>
      <c r="HG7" s="854"/>
      <c r="HH7" s="854"/>
      <c r="HI7" s="854"/>
      <c r="HJ7" s="854"/>
      <c r="HK7" s="854"/>
      <c r="HL7" s="854" t="s">
        <v>231</v>
      </c>
      <c r="HM7" s="854"/>
      <c r="HN7" s="854"/>
      <c r="HO7" s="854"/>
      <c r="HP7" s="854"/>
      <c r="HQ7" s="854"/>
      <c r="HR7" s="854"/>
      <c r="HS7" s="854"/>
      <c r="HT7" s="854"/>
      <c r="HU7" s="832"/>
      <c r="HV7" s="2"/>
      <c r="HW7" s="836"/>
      <c r="HX7" s="836"/>
      <c r="HY7" s="836"/>
      <c r="HZ7" s="836"/>
      <c r="IA7" s="836"/>
      <c r="IB7" s="836"/>
      <c r="IC7" s="836"/>
      <c r="ID7" s="836"/>
      <c r="IE7" s="836"/>
      <c r="IF7" s="836"/>
      <c r="IG7" s="816"/>
      <c r="IH7" s="816"/>
      <c r="II7" s="816"/>
      <c r="IJ7" s="816"/>
      <c r="IK7" s="816"/>
      <c r="IL7" s="816"/>
      <c r="IM7" s="816"/>
      <c r="IN7" s="822"/>
      <c r="IO7" s="822"/>
      <c r="IP7" s="822"/>
      <c r="IQ7" s="822"/>
      <c r="IR7" s="822"/>
      <c r="IS7" s="827"/>
      <c r="IT7" s="830"/>
      <c r="IU7" s="825"/>
      <c r="IV7" s="825"/>
    </row>
    <row r="8" spans="1:256" s="25" customFormat="1" ht="44.4" customHeight="1" thickBot="1">
      <c r="B8" s="719"/>
      <c r="C8" s="839"/>
      <c r="D8" s="818" t="s">
        <v>176</v>
      </c>
      <c r="E8" s="818" t="s">
        <v>168</v>
      </c>
      <c r="F8" s="818" t="s">
        <v>62</v>
      </c>
      <c r="G8" s="818" t="s">
        <v>226</v>
      </c>
      <c r="H8" s="818" t="s">
        <v>200</v>
      </c>
      <c r="I8" s="818" t="s">
        <v>552</v>
      </c>
      <c r="J8" s="818" t="s">
        <v>76</v>
      </c>
      <c r="K8" s="818" t="s">
        <v>83</v>
      </c>
      <c r="L8" s="818" t="s">
        <v>218</v>
      </c>
      <c r="M8" s="818" t="s">
        <v>192</v>
      </c>
      <c r="N8" s="818" t="s">
        <v>268</v>
      </c>
      <c r="O8" s="818" t="s">
        <v>80</v>
      </c>
      <c r="P8" s="818" t="s">
        <v>462</v>
      </c>
      <c r="Q8" s="818" t="s">
        <v>219</v>
      </c>
      <c r="R8" s="818" t="s">
        <v>84</v>
      </c>
      <c r="S8" s="818" t="s">
        <v>108</v>
      </c>
      <c r="T8" s="818" t="s">
        <v>281</v>
      </c>
      <c r="U8" s="818" t="s">
        <v>664</v>
      </c>
      <c r="V8" s="818" t="s">
        <v>132</v>
      </c>
      <c r="W8" s="818" t="s">
        <v>677</v>
      </c>
      <c r="X8" s="818" t="s">
        <v>818</v>
      </c>
      <c r="Y8" s="818" t="s">
        <v>828</v>
      </c>
      <c r="Z8" s="818" t="s">
        <v>79</v>
      </c>
      <c r="AA8" s="818" t="s">
        <v>228</v>
      </c>
      <c r="AB8" s="818" t="s">
        <v>748</v>
      </c>
      <c r="AC8" s="818" t="s">
        <v>94</v>
      </c>
      <c r="AD8" s="818" t="s">
        <v>699</v>
      </c>
      <c r="AE8" s="818" t="s">
        <v>551</v>
      </c>
      <c r="AF8" s="818" t="s">
        <v>735</v>
      </c>
      <c r="AG8" s="818" t="s">
        <v>633</v>
      </c>
      <c r="AH8" s="818" t="s">
        <v>77</v>
      </c>
      <c r="AI8" s="818" t="s">
        <v>75</v>
      </c>
      <c r="AJ8" s="818" t="s">
        <v>133</v>
      </c>
      <c r="AK8" s="818" t="s">
        <v>666</v>
      </c>
      <c r="AL8" s="800" t="s">
        <v>697</v>
      </c>
      <c r="AM8" s="817" t="s">
        <v>230</v>
      </c>
      <c r="AN8" s="817" t="s">
        <v>229</v>
      </c>
      <c r="AO8" s="842"/>
      <c r="AP8" s="842"/>
      <c r="AQ8" s="842"/>
      <c r="AR8" s="842"/>
      <c r="AS8" s="842"/>
      <c r="AT8" s="842"/>
      <c r="AU8" s="842"/>
      <c r="AV8" s="818" t="s">
        <v>191</v>
      </c>
      <c r="AW8" s="818" t="s">
        <v>68</v>
      </c>
      <c r="AX8" s="818" t="s">
        <v>182</v>
      </c>
      <c r="AY8" s="818" t="s">
        <v>85</v>
      </c>
      <c r="AZ8" s="818" t="s">
        <v>194</v>
      </c>
      <c r="BA8" s="818" t="s">
        <v>25</v>
      </c>
      <c r="BB8" s="850"/>
      <c r="BC8" s="850"/>
      <c r="BD8" s="818" t="s">
        <v>14</v>
      </c>
      <c r="BE8" s="818" t="s">
        <v>15</v>
      </c>
      <c r="BF8" s="818" t="s">
        <v>16</v>
      </c>
      <c r="BG8" s="818" t="s">
        <v>17</v>
      </c>
      <c r="BH8" s="850"/>
      <c r="BI8" s="818" t="s">
        <v>204</v>
      </c>
      <c r="BJ8" s="818" t="s">
        <v>205</v>
      </c>
      <c r="BK8" s="818" t="s">
        <v>206</v>
      </c>
      <c r="BL8" s="818" t="s">
        <v>207</v>
      </c>
      <c r="BM8" s="818" t="s">
        <v>208</v>
      </c>
      <c r="BN8" s="818" t="s">
        <v>209</v>
      </c>
      <c r="BO8" s="818" t="s">
        <v>210</v>
      </c>
      <c r="BP8" s="818" t="s">
        <v>211</v>
      </c>
      <c r="BQ8" s="818" t="s">
        <v>212</v>
      </c>
      <c r="BR8" s="818" t="s">
        <v>213</v>
      </c>
      <c r="BS8" s="818" t="s">
        <v>214</v>
      </c>
      <c r="BT8" s="818" t="s">
        <v>215</v>
      </c>
      <c r="BU8" s="818" t="s">
        <v>216</v>
      </c>
      <c r="BV8" s="818" t="s">
        <v>70</v>
      </c>
      <c r="BW8" s="818" t="s">
        <v>137</v>
      </c>
      <c r="BX8" s="818" t="s">
        <v>94</v>
      </c>
      <c r="BY8" s="800" t="s">
        <v>561</v>
      </c>
      <c r="BZ8" s="850"/>
      <c r="CA8" s="850"/>
      <c r="CB8" s="853"/>
      <c r="CC8" s="801" t="s">
        <v>487</v>
      </c>
      <c r="CD8" s="801" t="s">
        <v>67</v>
      </c>
      <c r="CE8" s="801" t="s">
        <v>488</v>
      </c>
      <c r="CF8" s="801" t="s">
        <v>180</v>
      </c>
      <c r="CG8" s="801" t="s">
        <v>73</v>
      </c>
      <c r="CH8" s="801" t="s">
        <v>25</v>
      </c>
      <c r="CI8" s="845"/>
      <c r="CJ8" s="845"/>
      <c r="CK8" s="853"/>
      <c r="CL8" s="853"/>
      <c r="CM8" s="853"/>
      <c r="CN8" s="853"/>
      <c r="CO8" s="853"/>
      <c r="CP8" s="853"/>
      <c r="CQ8" s="853"/>
      <c r="CR8" s="853"/>
      <c r="CS8" s="853"/>
      <c r="CT8" s="853"/>
      <c r="CU8" s="853"/>
      <c r="CV8" s="820"/>
      <c r="CW8" s="814">
        <v>2013</v>
      </c>
      <c r="CX8" s="814">
        <v>2014</v>
      </c>
      <c r="CY8" s="814">
        <v>2015</v>
      </c>
      <c r="CZ8" s="814">
        <v>2016</v>
      </c>
      <c r="DA8" s="814" t="s">
        <v>290</v>
      </c>
      <c r="DB8" s="814" t="s">
        <v>435</v>
      </c>
      <c r="DC8" s="814" t="s">
        <v>437</v>
      </c>
      <c r="DD8" s="820"/>
      <c r="DE8" s="814">
        <v>2013</v>
      </c>
      <c r="DF8" s="814">
        <v>2014</v>
      </c>
      <c r="DG8" s="814">
        <v>2015</v>
      </c>
      <c r="DH8" s="814">
        <v>2016</v>
      </c>
      <c r="DI8" s="814" t="s">
        <v>290</v>
      </c>
      <c r="DJ8" s="814" t="s">
        <v>435</v>
      </c>
      <c r="DK8" s="814" t="s">
        <v>437</v>
      </c>
      <c r="DL8" s="820"/>
      <c r="DM8" s="820"/>
      <c r="DN8" s="832"/>
      <c r="DO8" s="832"/>
      <c r="DP8" s="820"/>
      <c r="DQ8" s="802" t="s">
        <v>18</v>
      </c>
      <c r="DR8" s="802" t="s">
        <v>19</v>
      </c>
      <c r="DS8" s="802" t="s">
        <v>20</v>
      </c>
      <c r="DT8" s="802" t="s">
        <v>21</v>
      </c>
      <c r="DU8" s="802" t="s">
        <v>22</v>
      </c>
      <c r="DV8" s="802" t="s">
        <v>23</v>
      </c>
      <c r="DW8" s="802" t="s">
        <v>24</v>
      </c>
      <c r="DX8" s="802" t="s">
        <v>25</v>
      </c>
      <c r="DY8" s="802" t="s">
        <v>26</v>
      </c>
      <c r="DZ8" s="802" t="s">
        <v>18</v>
      </c>
      <c r="EA8" s="802" t="s">
        <v>19</v>
      </c>
      <c r="EB8" s="802" t="s">
        <v>20</v>
      </c>
      <c r="EC8" s="802" t="s">
        <v>21</v>
      </c>
      <c r="ED8" s="802" t="s">
        <v>22</v>
      </c>
      <c r="EE8" s="802" t="s">
        <v>23</v>
      </c>
      <c r="EF8" s="802" t="s">
        <v>24</v>
      </c>
      <c r="EG8" s="802" t="s">
        <v>25</v>
      </c>
      <c r="EH8" s="802" t="s">
        <v>26</v>
      </c>
      <c r="EI8" s="802" t="s">
        <v>18</v>
      </c>
      <c r="EJ8" s="802" t="s">
        <v>19</v>
      </c>
      <c r="EK8" s="802" t="s">
        <v>20</v>
      </c>
      <c r="EL8" s="802" t="s">
        <v>21</v>
      </c>
      <c r="EM8" s="802" t="s">
        <v>22</v>
      </c>
      <c r="EN8" s="802" t="s">
        <v>23</v>
      </c>
      <c r="EO8" s="802" t="s">
        <v>24</v>
      </c>
      <c r="EP8" s="802" t="s">
        <v>25</v>
      </c>
      <c r="EQ8" s="802" t="s">
        <v>26</v>
      </c>
      <c r="ER8" s="802" t="s">
        <v>18</v>
      </c>
      <c r="ES8" s="802" t="s">
        <v>19</v>
      </c>
      <c r="ET8" s="802" t="s">
        <v>20</v>
      </c>
      <c r="EU8" s="802" t="s">
        <v>21</v>
      </c>
      <c r="EV8" s="802" t="s">
        <v>22</v>
      </c>
      <c r="EW8" s="802" t="s">
        <v>23</v>
      </c>
      <c r="EX8" s="802" t="s">
        <v>24</v>
      </c>
      <c r="EY8" s="802" t="s">
        <v>25</v>
      </c>
      <c r="EZ8" s="802" t="s">
        <v>26</v>
      </c>
      <c r="FA8" s="802" t="s">
        <v>18</v>
      </c>
      <c r="FB8" s="802" t="s">
        <v>19</v>
      </c>
      <c r="FC8" s="802" t="s">
        <v>20</v>
      </c>
      <c r="FD8" s="802" t="s">
        <v>21</v>
      </c>
      <c r="FE8" s="802" t="s">
        <v>22</v>
      </c>
      <c r="FF8" s="802" t="s">
        <v>23</v>
      </c>
      <c r="FG8" s="802" t="s">
        <v>24</v>
      </c>
      <c r="FH8" s="802" t="s">
        <v>25</v>
      </c>
      <c r="FI8" s="802" t="s">
        <v>26</v>
      </c>
      <c r="FJ8" s="803" t="s">
        <v>18</v>
      </c>
      <c r="FK8" s="802" t="s">
        <v>19</v>
      </c>
      <c r="FL8" s="802" t="s">
        <v>20</v>
      </c>
      <c r="FM8" s="802" t="s">
        <v>21</v>
      </c>
      <c r="FN8" s="802" t="s">
        <v>22</v>
      </c>
      <c r="FO8" s="802" t="s">
        <v>23</v>
      </c>
      <c r="FP8" s="802" t="s">
        <v>24</v>
      </c>
      <c r="FQ8" s="802" t="s">
        <v>25</v>
      </c>
      <c r="FR8" s="802" t="s">
        <v>26</v>
      </c>
      <c r="FS8" s="802" t="s">
        <v>18</v>
      </c>
      <c r="FT8" s="802" t="s">
        <v>19</v>
      </c>
      <c r="FU8" s="802" t="s">
        <v>20</v>
      </c>
      <c r="FV8" s="802" t="s">
        <v>21</v>
      </c>
      <c r="FW8" s="802" t="s">
        <v>22</v>
      </c>
      <c r="FX8" s="802" t="s">
        <v>23</v>
      </c>
      <c r="FY8" s="802" t="s">
        <v>24</v>
      </c>
      <c r="FZ8" s="802" t="s">
        <v>25</v>
      </c>
      <c r="GA8" s="802" t="s">
        <v>26</v>
      </c>
      <c r="GB8" s="802" t="s">
        <v>18</v>
      </c>
      <c r="GC8" s="802" t="s">
        <v>19</v>
      </c>
      <c r="GD8" s="802" t="s">
        <v>20</v>
      </c>
      <c r="GE8" s="802" t="s">
        <v>21</v>
      </c>
      <c r="GF8" s="802" t="s">
        <v>22</v>
      </c>
      <c r="GG8" s="802" t="s">
        <v>23</v>
      </c>
      <c r="GH8" s="802" t="s">
        <v>24</v>
      </c>
      <c r="GI8" s="802" t="s">
        <v>25</v>
      </c>
      <c r="GJ8" s="802" t="s">
        <v>26</v>
      </c>
      <c r="GK8" s="802" t="s">
        <v>27</v>
      </c>
      <c r="GL8" s="802" t="s">
        <v>19</v>
      </c>
      <c r="GM8" s="802" t="s">
        <v>20</v>
      </c>
      <c r="GN8" s="802" t="s">
        <v>21</v>
      </c>
      <c r="GO8" s="802" t="s">
        <v>22</v>
      </c>
      <c r="GP8" s="802" t="s">
        <v>23</v>
      </c>
      <c r="GQ8" s="802" t="s">
        <v>24</v>
      </c>
      <c r="GR8" s="802" t="s">
        <v>25</v>
      </c>
      <c r="GS8" s="802" t="s">
        <v>26</v>
      </c>
      <c r="GT8" s="802" t="s">
        <v>27</v>
      </c>
      <c r="GU8" s="802" t="s">
        <v>19</v>
      </c>
      <c r="GV8" s="802" t="s">
        <v>20</v>
      </c>
      <c r="GW8" s="802" t="s">
        <v>21</v>
      </c>
      <c r="GX8" s="802" t="s">
        <v>22</v>
      </c>
      <c r="GY8" s="802" t="s">
        <v>23</v>
      </c>
      <c r="GZ8" s="802" t="s">
        <v>28</v>
      </c>
      <c r="HA8" s="802" t="s">
        <v>29</v>
      </c>
      <c r="HB8" s="802" t="s">
        <v>26</v>
      </c>
      <c r="HC8" s="802" t="s">
        <v>27</v>
      </c>
      <c r="HD8" s="802" t="s">
        <v>19</v>
      </c>
      <c r="HE8" s="802" t="s">
        <v>20</v>
      </c>
      <c r="HF8" s="802" t="s">
        <v>21</v>
      </c>
      <c r="HG8" s="802" t="s">
        <v>22</v>
      </c>
      <c r="HH8" s="802" t="s">
        <v>23</v>
      </c>
      <c r="HI8" s="802" t="s">
        <v>28</v>
      </c>
      <c r="HJ8" s="802" t="s">
        <v>225</v>
      </c>
      <c r="HK8" s="802" t="s">
        <v>26</v>
      </c>
      <c r="HL8" s="802" t="s">
        <v>27</v>
      </c>
      <c r="HM8" s="802" t="s">
        <v>19</v>
      </c>
      <c r="HN8" s="802" t="s">
        <v>20</v>
      </c>
      <c r="HO8" s="802" t="s">
        <v>21</v>
      </c>
      <c r="HP8" s="802" t="s">
        <v>22</v>
      </c>
      <c r="HQ8" s="802" t="s">
        <v>23</v>
      </c>
      <c r="HR8" s="802" t="s">
        <v>28</v>
      </c>
      <c r="HS8" s="802" t="s">
        <v>225</v>
      </c>
      <c r="HT8" s="802" t="s">
        <v>26</v>
      </c>
      <c r="HU8" s="834"/>
      <c r="HV8" s="820"/>
      <c r="HW8" s="855"/>
      <c r="HX8" s="855"/>
      <c r="HY8" s="855"/>
      <c r="HZ8" s="855"/>
      <c r="IA8" s="855"/>
      <c r="IB8" s="855"/>
      <c r="IC8" s="855"/>
      <c r="ID8" s="855"/>
      <c r="IE8" s="855"/>
      <c r="IF8" s="855"/>
      <c r="IG8" s="818" t="s">
        <v>69</v>
      </c>
      <c r="IH8" s="818" t="s">
        <v>65</v>
      </c>
      <c r="II8" s="818" t="s">
        <v>856</v>
      </c>
      <c r="IJ8" s="818" t="s">
        <v>96</v>
      </c>
      <c r="IK8" s="818" t="s">
        <v>25</v>
      </c>
      <c r="IL8" s="818" t="s">
        <v>855</v>
      </c>
      <c r="IM8" s="804" t="s">
        <v>581</v>
      </c>
      <c r="IN8" s="823"/>
      <c r="IO8" s="823"/>
      <c r="IP8" s="823"/>
      <c r="IQ8" s="823"/>
      <c r="IR8" s="823"/>
      <c r="IS8" s="828"/>
      <c r="IT8" s="830"/>
      <c r="IU8" s="245">
        <v>2013</v>
      </c>
      <c r="IV8" s="106">
        <v>2014</v>
      </c>
    </row>
    <row r="9" spans="1:256" s="13" customFormat="1" ht="27" hidden="1" customHeight="1">
      <c r="B9" s="718"/>
      <c r="C9" s="787"/>
      <c r="D9" s="788"/>
      <c r="E9" s="788"/>
      <c r="F9" s="788"/>
      <c r="G9" s="788"/>
      <c r="H9" s="788"/>
      <c r="I9" s="788"/>
      <c r="J9" s="788"/>
      <c r="K9" s="788"/>
      <c r="L9" s="788"/>
      <c r="M9" s="788"/>
      <c r="N9" s="788"/>
      <c r="O9" s="788"/>
      <c r="P9" s="788"/>
      <c r="Q9" s="788"/>
      <c r="R9" s="788"/>
      <c r="S9" s="788"/>
      <c r="T9" s="788"/>
      <c r="U9" s="788"/>
      <c r="V9" s="788"/>
      <c r="W9" s="788"/>
      <c r="X9" s="788"/>
      <c r="Y9" s="788"/>
      <c r="Z9" s="788"/>
      <c r="AA9" s="788"/>
      <c r="AB9" s="788"/>
      <c r="AC9" s="788"/>
      <c r="AD9" s="788"/>
      <c r="AE9" s="788"/>
      <c r="AF9" s="788"/>
      <c r="AG9" s="788"/>
      <c r="AH9" s="788"/>
      <c r="AI9" s="788"/>
      <c r="AJ9" s="788"/>
      <c r="AK9" s="788"/>
      <c r="AL9" s="788"/>
      <c r="AM9" s="789"/>
      <c r="AN9" s="789"/>
      <c r="AO9" s="789"/>
      <c r="AP9" s="789"/>
      <c r="AQ9" s="789"/>
      <c r="AR9" s="790"/>
      <c r="AS9" s="791"/>
      <c r="AT9" s="790"/>
      <c r="AU9" s="790"/>
      <c r="AV9" s="792"/>
      <c r="AW9" s="792"/>
      <c r="AX9" s="792"/>
      <c r="AY9" s="792"/>
      <c r="AZ9" s="792"/>
      <c r="BA9" s="792"/>
      <c r="BB9" s="793"/>
      <c r="BC9" s="793"/>
      <c r="BD9" s="792"/>
      <c r="BE9" s="792"/>
      <c r="BF9" s="792"/>
      <c r="BG9" s="792"/>
      <c r="BH9" s="788"/>
      <c r="BI9" s="788"/>
      <c r="BJ9" s="788"/>
      <c r="BK9" s="788"/>
      <c r="BL9" s="788"/>
      <c r="BM9" s="788"/>
      <c r="BN9" s="788"/>
      <c r="BO9" s="788"/>
      <c r="BP9" s="788"/>
      <c r="BQ9" s="788"/>
      <c r="BR9" s="788"/>
      <c r="BS9" s="788"/>
      <c r="BT9" s="788"/>
      <c r="BU9" s="788"/>
      <c r="BV9" s="788"/>
      <c r="BW9" s="788"/>
      <c r="BX9" s="788"/>
      <c r="BY9" s="788"/>
      <c r="BZ9" s="788"/>
      <c r="CA9" s="788"/>
      <c r="CB9" s="794"/>
      <c r="CC9" s="792"/>
      <c r="CD9" s="792"/>
      <c r="CE9" s="792"/>
      <c r="CF9" s="792"/>
      <c r="CG9" s="792"/>
      <c r="CH9" s="792"/>
      <c r="CI9" s="792"/>
      <c r="CJ9" s="792"/>
      <c r="CK9" s="790"/>
      <c r="CL9" s="794"/>
      <c r="CM9" s="790"/>
      <c r="CN9" s="790"/>
      <c r="CO9" s="790"/>
      <c r="CP9" s="790"/>
      <c r="CQ9" s="790"/>
      <c r="CR9" s="790"/>
      <c r="CS9" s="790"/>
      <c r="CT9" s="790"/>
      <c r="CU9" s="794"/>
      <c r="CV9" s="794"/>
      <c r="CW9" s="793"/>
      <c r="CX9" s="792"/>
      <c r="CY9" s="792"/>
      <c r="CZ9" s="792"/>
      <c r="DA9" s="792"/>
      <c r="DB9" s="792"/>
      <c r="DC9" s="792"/>
      <c r="DD9" s="793"/>
      <c r="DE9" s="793"/>
      <c r="DF9" s="792"/>
      <c r="DG9" s="792"/>
      <c r="DH9" s="792"/>
      <c r="DI9" s="792"/>
      <c r="DJ9" s="792"/>
      <c r="DK9" s="792"/>
      <c r="DL9" s="793"/>
      <c r="DM9" s="793"/>
      <c r="DN9" s="793"/>
      <c r="DO9" s="793"/>
      <c r="DP9" s="795"/>
      <c r="DQ9" s="790"/>
      <c r="DR9" s="790"/>
      <c r="DS9" s="790"/>
      <c r="DT9" s="790"/>
      <c r="DU9" s="790"/>
      <c r="DV9" s="790"/>
      <c r="DW9" s="790"/>
      <c r="DX9" s="790"/>
      <c r="DY9" s="796"/>
      <c r="DZ9" s="790"/>
      <c r="EA9" s="790"/>
      <c r="EB9" s="790"/>
      <c r="EC9" s="790"/>
      <c r="ED9" s="790"/>
      <c r="EE9" s="790"/>
      <c r="EF9" s="790"/>
      <c r="EG9" s="790"/>
      <c r="EH9" s="796"/>
      <c r="EI9" s="790"/>
      <c r="EJ9" s="790"/>
      <c r="EK9" s="790"/>
      <c r="EL9" s="790"/>
      <c r="EM9" s="790"/>
      <c r="EN9" s="790"/>
      <c r="EO9" s="790"/>
      <c r="EP9" s="790"/>
      <c r="EQ9" s="796"/>
      <c r="ER9" s="790"/>
      <c r="ES9" s="790"/>
      <c r="ET9" s="790"/>
      <c r="EU9" s="790"/>
      <c r="EV9" s="790"/>
      <c r="EW9" s="790"/>
      <c r="EX9" s="790"/>
      <c r="EY9" s="790"/>
      <c r="EZ9" s="796"/>
      <c r="FA9" s="797"/>
      <c r="FB9" s="790"/>
      <c r="FC9" s="790"/>
      <c r="FD9" s="790"/>
      <c r="FE9" s="790"/>
      <c r="FF9" s="790"/>
      <c r="FG9" s="790"/>
      <c r="FH9" s="790"/>
      <c r="FI9" s="796"/>
      <c r="FJ9" s="798"/>
      <c r="FK9" s="790"/>
      <c r="FL9" s="790"/>
      <c r="FM9" s="790"/>
      <c r="FN9" s="790"/>
      <c r="FO9" s="790"/>
      <c r="FP9" s="790"/>
      <c r="FQ9" s="790"/>
      <c r="FR9" s="796"/>
      <c r="FS9" s="790"/>
      <c r="FT9" s="790"/>
      <c r="FU9" s="790"/>
      <c r="FV9" s="790"/>
      <c r="FW9" s="790"/>
      <c r="FX9" s="790"/>
      <c r="FY9" s="790"/>
      <c r="FZ9" s="790"/>
      <c r="GA9" s="796"/>
      <c r="GB9" s="790"/>
      <c r="GC9" s="790"/>
      <c r="GD9" s="790"/>
      <c r="GE9" s="790"/>
      <c r="GF9" s="790"/>
      <c r="GG9" s="790"/>
      <c r="GH9" s="790"/>
      <c r="GI9" s="790"/>
      <c r="GJ9" s="796"/>
      <c r="GK9" s="790"/>
      <c r="GL9" s="790"/>
      <c r="GM9" s="790"/>
      <c r="GN9" s="790"/>
      <c r="GO9" s="790"/>
      <c r="GP9" s="790"/>
      <c r="GQ9" s="790"/>
      <c r="GR9" s="790"/>
      <c r="GS9" s="796"/>
      <c r="GT9" s="790"/>
      <c r="GU9" s="790"/>
      <c r="GV9" s="790"/>
      <c r="GW9" s="790"/>
      <c r="GX9" s="790"/>
      <c r="GY9" s="790"/>
      <c r="GZ9" s="790"/>
      <c r="HA9" s="790"/>
      <c r="HB9" s="796"/>
      <c r="HC9" s="796"/>
      <c r="HD9" s="796"/>
      <c r="HE9" s="796"/>
      <c r="HF9" s="796"/>
      <c r="HG9" s="796"/>
      <c r="HH9" s="796"/>
      <c r="HI9" s="796"/>
      <c r="HJ9" s="796"/>
      <c r="HK9" s="796"/>
      <c r="HL9" s="796"/>
      <c r="HM9" s="796"/>
      <c r="HN9" s="796"/>
      <c r="HO9" s="796"/>
      <c r="HP9" s="796"/>
      <c r="HQ9" s="796"/>
      <c r="HR9" s="796"/>
      <c r="HS9" s="796"/>
      <c r="HT9" s="796"/>
      <c r="HU9" s="796" t="s">
        <v>569</v>
      </c>
      <c r="HV9" s="788"/>
      <c r="HW9" s="792"/>
      <c r="HX9" s="792"/>
      <c r="HY9" s="792"/>
      <c r="HZ9" s="792"/>
      <c r="IA9" s="792"/>
      <c r="IB9" s="792"/>
      <c r="IC9" s="793"/>
      <c r="ID9" s="790"/>
      <c r="IE9" s="792"/>
      <c r="IF9" s="792"/>
      <c r="IG9" s="792"/>
      <c r="IH9" s="792"/>
      <c r="II9" s="792"/>
      <c r="IJ9" s="792"/>
      <c r="IK9" s="792"/>
      <c r="IL9" s="792"/>
      <c r="IM9" s="792"/>
      <c r="IN9" s="792"/>
      <c r="IO9" s="790"/>
      <c r="IP9" s="790"/>
      <c r="IQ9" s="797"/>
      <c r="IR9" s="790"/>
      <c r="IS9" s="799"/>
      <c r="IT9" s="154"/>
      <c r="IU9" s="246"/>
      <c r="IV9" s="105"/>
    </row>
    <row r="10" spans="1:256" s="26" customFormat="1" ht="18.600000000000001" hidden="1" customHeight="1" thickBot="1">
      <c r="B10" s="719"/>
      <c r="C10" s="738" t="s">
        <v>30</v>
      </c>
      <c r="D10" s="729"/>
      <c r="E10" s="729"/>
      <c r="F10" s="729"/>
      <c r="G10" s="729"/>
      <c r="H10" s="729"/>
      <c r="I10" s="729"/>
      <c r="J10" s="729"/>
      <c r="K10" s="729"/>
      <c r="L10" s="729"/>
      <c r="M10" s="729"/>
      <c r="N10" s="729"/>
      <c r="O10" s="729"/>
      <c r="P10" s="729"/>
      <c r="Q10" s="729"/>
      <c r="R10" s="729"/>
      <c r="S10" s="729"/>
      <c r="T10" s="729"/>
      <c r="U10" s="729"/>
      <c r="V10" s="729"/>
      <c r="W10" s="729"/>
      <c r="X10" s="729"/>
      <c r="Y10" s="729"/>
      <c r="Z10" s="729"/>
      <c r="AA10" s="729"/>
      <c r="AB10" s="729"/>
      <c r="AC10" s="729"/>
      <c r="AD10" s="729"/>
      <c r="AE10" s="729"/>
      <c r="AF10" s="729"/>
      <c r="AG10" s="729"/>
      <c r="AH10" s="729"/>
      <c r="AI10" s="729"/>
      <c r="AJ10" s="729"/>
      <c r="AK10" s="729"/>
      <c r="AL10" s="729"/>
      <c r="AM10" s="728" t="s">
        <v>31</v>
      </c>
      <c r="AN10" s="729" t="s">
        <v>32</v>
      </c>
      <c r="AO10" s="729"/>
      <c r="AP10" s="729"/>
      <c r="AQ10" s="729" t="s">
        <v>33</v>
      </c>
      <c r="AR10" s="729" t="s">
        <v>34</v>
      </c>
      <c r="AS10" s="729" t="s">
        <v>35</v>
      </c>
      <c r="AT10" s="729" t="s">
        <v>36</v>
      </c>
      <c r="AU10" s="729" t="s">
        <v>37</v>
      </c>
      <c r="AV10" s="729"/>
      <c r="AW10" s="729"/>
      <c r="AX10" s="729"/>
      <c r="AY10" s="729"/>
      <c r="AZ10" s="729"/>
      <c r="BA10" s="729"/>
      <c r="BB10" s="729" t="s">
        <v>40</v>
      </c>
      <c r="BC10" s="729" t="s">
        <v>41</v>
      </c>
      <c r="BD10" s="729"/>
      <c r="BE10" s="729"/>
      <c r="BF10" s="729"/>
      <c r="BG10" s="729"/>
      <c r="BH10" s="729" t="s">
        <v>42</v>
      </c>
      <c r="BI10" s="729"/>
      <c r="BJ10" s="729"/>
      <c r="BK10" s="729"/>
      <c r="BL10" s="729"/>
      <c r="BM10" s="729"/>
      <c r="BN10" s="729"/>
      <c r="BO10" s="729"/>
      <c r="BP10" s="729"/>
      <c r="BQ10" s="729"/>
      <c r="BR10" s="729"/>
      <c r="BS10" s="729"/>
      <c r="BT10" s="729"/>
      <c r="BU10" s="729"/>
      <c r="BV10" s="729"/>
      <c r="BW10" s="729"/>
      <c r="BX10" s="729"/>
      <c r="BY10" s="729"/>
      <c r="BZ10" s="729" t="s">
        <v>43</v>
      </c>
      <c r="CA10" s="729" t="s">
        <v>44</v>
      </c>
      <c r="CB10" s="729" t="s">
        <v>46</v>
      </c>
      <c r="CC10" s="729"/>
      <c r="CD10" s="729"/>
      <c r="CE10" s="729"/>
      <c r="CF10" s="729"/>
      <c r="CG10" s="729"/>
      <c r="CH10" s="729"/>
      <c r="CI10" s="729" t="s">
        <v>38</v>
      </c>
      <c r="CJ10" s="729" t="s">
        <v>39</v>
      </c>
      <c r="CK10" s="729" t="s">
        <v>48</v>
      </c>
      <c r="CL10" s="730" t="s">
        <v>47</v>
      </c>
      <c r="CM10" s="730"/>
      <c r="CN10" s="730"/>
      <c r="CO10" s="730"/>
      <c r="CP10" s="730"/>
      <c r="CQ10" s="730"/>
      <c r="CR10" s="730"/>
      <c r="CS10" s="730"/>
      <c r="CT10" s="730"/>
      <c r="CU10" s="729" t="s">
        <v>49</v>
      </c>
      <c r="CV10" s="730" t="s">
        <v>53</v>
      </c>
      <c r="CW10" s="729"/>
      <c r="CX10" s="729"/>
      <c r="CY10" s="729"/>
      <c r="CZ10" s="729"/>
      <c r="DA10" s="729"/>
      <c r="DB10" s="729"/>
      <c r="DC10" s="729"/>
      <c r="DD10" s="729" t="s">
        <v>50</v>
      </c>
      <c r="DE10" s="729"/>
      <c r="DF10" s="729"/>
      <c r="DG10" s="729"/>
      <c r="DH10" s="729"/>
      <c r="DI10" s="729"/>
      <c r="DJ10" s="729"/>
      <c r="DK10" s="729"/>
      <c r="DL10" s="729" t="s">
        <v>51</v>
      </c>
      <c r="DM10" s="730" t="s">
        <v>52</v>
      </c>
      <c r="DN10" s="731"/>
      <c r="DO10" s="731"/>
      <c r="DP10" s="729" t="s">
        <v>45</v>
      </c>
      <c r="DQ10" s="730"/>
      <c r="DR10" s="730"/>
      <c r="DS10" s="730"/>
      <c r="DT10" s="730"/>
      <c r="DU10" s="730"/>
      <c r="DV10" s="730"/>
      <c r="DW10" s="730"/>
      <c r="DX10" s="730"/>
      <c r="DY10" s="730" t="s">
        <v>54</v>
      </c>
      <c r="DZ10" s="730"/>
      <c r="EA10" s="730"/>
      <c r="EB10" s="730"/>
      <c r="EC10" s="730"/>
      <c r="ED10" s="730"/>
      <c r="EE10" s="730"/>
      <c r="EF10" s="730"/>
      <c r="EG10" s="730"/>
      <c r="EH10" s="730" t="s">
        <v>54</v>
      </c>
      <c r="EI10" s="730"/>
      <c r="EJ10" s="730"/>
      <c r="EK10" s="730"/>
      <c r="EL10" s="730"/>
      <c r="EM10" s="730"/>
      <c r="EN10" s="730"/>
      <c r="EO10" s="730"/>
      <c r="EP10" s="730"/>
      <c r="EQ10" s="730" t="s">
        <v>54</v>
      </c>
      <c r="ER10" s="730"/>
      <c r="ES10" s="730"/>
      <c r="ET10" s="730"/>
      <c r="EU10" s="730"/>
      <c r="EV10" s="730"/>
      <c r="EW10" s="730"/>
      <c r="EX10" s="730"/>
      <c r="EY10" s="730"/>
      <c r="EZ10" s="730" t="s">
        <v>55</v>
      </c>
      <c r="FA10" s="730"/>
      <c r="FB10" s="730"/>
      <c r="FC10" s="730"/>
      <c r="FD10" s="730"/>
      <c r="FE10" s="730"/>
      <c r="FF10" s="730"/>
      <c r="FG10" s="730"/>
      <c r="FH10" s="730"/>
      <c r="FI10" s="730" t="s">
        <v>56</v>
      </c>
      <c r="FJ10" s="732"/>
      <c r="FK10" s="730"/>
      <c r="FL10" s="730"/>
      <c r="FM10" s="730"/>
      <c r="FN10" s="730"/>
      <c r="FO10" s="730"/>
      <c r="FP10" s="730"/>
      <c r="FQ10" s="730"/>
      <c r="FR10" s="730" t="s">
        <v>57</v>
      </c>
      <c r="FS10" s="730"/>
      <c r="FT10" s="730"/>
      <c r="FU10" s="730"/>
      <c r="FV10" s="730"/>
      <c r="FW10" s="730"/>
      <c r="FX10" s="730"/>
      <c r="FY10" s="730"/>
      <c r="FZ10" s="730"/>
      <c r="GA10" s="730" t="s">
        <v>58</v>
      </c>
      <c r="GB10" s="730"/>
      <c r="GC10" s="730"/>
      <c r="GD10" s="730"/>
      <c r="GE10" s="730"/>
      <c r="GF10" s="730"/>
      <c r="GG10" s="730"/>
      <c r="GH10" s="730"/>
      <c r="GI10" s="730"/>
      <c r="GJ10" s="730" t="s">
        <v>58</v>
      </c>
      <c r="GK10" s="730"/>
      <c r="GL10" s="730"/>
      <c r="GM10" s="730"/>
      <c r="GN10" s="730"/>
      <c r="GO10" s="730"/>
      <c r="GP10" s="730"/>
      <c r="GQ10" s="730"/>
      <c r="GR10" s="730"/>
      <c r="GS10" s="730" t="s">
        <v>59</v>
      </c>
      <c r="GT10" s="730"/>
      <c r="GU10" s="730"/>
      <c r="GV10" s="730"/>
      <c r="GW10" s="730"/>
      <c r="GX10" s="730"/>
      <c r="GY10" s="730"/>
      <c r="GZ10" s="730"/>
      <c r="HA10" s="730"/>
      <c r="HB10" s="730" t="s">
        <v>60</v>
      </c>
      <c r="HC10" s="730"/>
      <c r="HD10" s="730"/>
      <c r="HE10" s="730"/>
      <c r="HF10" s="730"/>
      <c r="HG10" s="730"/>
      <c r="HH10" s="730"/>
      <c r="HI10" s="730"/>
      <c r="HJ10" s="730"/>
      <c r="HK10" s="730" t="s">
        <v>61</v>
      </c>
      <c r="HL10" s="730"/>
      <c r="HM10" s="730"/>
      <c r="HN10" s="730"/>
      <c r="HO10" s="730"/>
      <c r="HP10" s="730"/>
      <c r="HQ10" s="730"/>
      <c r="HR10" s="730"/>
      <c r="HS10" s="730"/>
      <c r="HT10" s="733" t="s">
        <v>220</v>
      </c>
      <c r="HU10" s="733"/>
      <c r="HV10" s="730" t="s">
        <v>221</v>
      </c>
      <c r="HW10" s="729"/>
      <c r="HX10" s="729"/>
      <c r="HY10" s="729"/>
      <c r="HZ10" s="729"/>
      <c r="IA10" s="729"/>
      <c r="IB10" s="729"/>
      <c r="IC10" s="729"/>
      <c r="ID10" s="730"/>
      <c r="IE10" s="729"/>
      <c r="IF10" s="729"/>
      <c r="IG10" s="729"/>
      <c r="IH10" s="729"/>
      <c r="II10" s="729"/>
      <c r="IJ10" s="729"/>
      <c r="IK10" s="729"/>
      <c r="IL10" s="729"/>
      <c r="IM10" s="729"/>
      <c r="IN10" s="730" t="s">
        <v>222</v>
      </c>
      <c r="IO10" s="730" t="s">
        <v>223</v>
      </c>
      <c r="IP10" s="733" t="s">
        <v>543</v>
      </c>
      <c r="IQ10" s="730" t="s">
        <v>544</v>
      </c>
      <c r="IR10" s="730" t="s">
        <v>545</v>
      </c>
      <c r="IS10" s="739" t="s">
        <v>542</v>
      </c>
      <c r="IT10" s="726"/>
      <c r="IU10" s="247"/>
      <c r="IV10" s="65"/>
    </row>
    <row r="11" spans="1:256" s="237" customFormat="1" ht="37.200000000000003" customHeight="1">
      <c r="A11" s="400">
        <v>221</v>
      </c>
      <c r="B11" s="719">
        <v>1</v>
      </c>
      <c r="C11" s="589"/>
      <c r="D11" s="417">
        <f t="shared" ref="D11:D20" si="0">IF($AM11="AFAB", 1, 0)</f>
        <v>0</v>
      </c>
      <c r="E11" s="417">
        <f t="shared" ref="E11:E20" si="1">IF($AM11="BCDA", 1, 0)</f>
        <v>0</v>
      </c>
      <c r="F11" s="417">
        <f t="shared" ref="F11:F20" si="2">IF($AM11="CEZA", 1, 0)</f>
        <v>0</v>
      </c>
      <c r="G11" s="417">
        <f t="shared" ref="G11:G20" si="3">IF($AM11="DA", 1, 0)</f>
        <v>0</v>
      </c>
      <c r="H11" s="417">
        <f t="shared" ref="H11:H20" si="4">IF($AM11="DAR", 1, 0)</f>
        <v>0</v>
      </c>
      <c r="I11" s="417">
        <f t="shared" ref="I11:I20" si="5">IF($AM11="CHED", 1, 0)</f>
        <v>0</v>
      </c>
      <c r="J11" s="417">
        <f t="shared" ref="J11:J20" si="6">IF($AM11="DENR", 1, 0)</f>
        <v>0</v>
      </c>
      <c r="K11" s="417">
        <f t="shared" ref="K11:K20" si="7">IF($AM11="DepEd", 1, 0)</f>
        <v>0</v>
      </c>
      <c r="L11" s="417">
        <f t="shared" ref="L11:L20" si="8">IF($AM11="DILG", 1, 0)</f>
        <v>0</v>
      </c>
      <c r="M11" s="417">
        <f t="shared" ref="M11:M20" si="9">IF($AM11="DOE", 1, 0)</f>
        <v>0</v>
      </c>
      <c r="N11" s="417">
        <f t="shared" ref="N11:N20" si="10">IF($AM11="DOF", 1, 0)</f>
        <v>0</v>
      </c>
      <c r="O11" s="417">
        <f t="shared" ref="O11:O20" si="11">IF($AM11="DOH", 1, 0)</f>
        <v>0</v>
      </c>
      <c r="P11" s="417">
        <f t="shared" ref="P11:P20" si="12">IF($AM11="DOJ", 1, 0)</f>
        <v>0</v>
      </c>
      <c r="Q11" s="417">
        <f t="shared" ref="Q11:Q20" si="13">IF($AM11="DOST", 1, 0)</f>
        <v>0</v>
      </c>
      <c r="R11" s="417">
        <f t="shared" ref="R11:R20" si="14">IF($AM11="DOTC", 1, 0)</f>
        <v>0</v>
      </c>
      <c r="S11" s="417">
        <f t="shared" ref="S11:S20" si="15">IF($AM11="DPWH", 1, 0)</f>
        <v>0</v>
      </c>
      <c r="T11" s="417">
        <f t="shared" ref="T11:T20" si="16">IF($AM11="HUDCC", 1, 0)</f>
        <v>0</v>
      </c>
      <c r="U11" s="417">
        <f t="shared" ref="U11:U20" si="17">IF($AM11="NEDA", 1, 0)</f>
        <v>0</v>
      </c>
      <c r="V11" s="417">
        <f t="shared" ref="V11:V20" si="18">IF($AM11="MMDA", 1, 0)</f>
        <v>0</v>
      </c>
      <c r="W11" s="417">
        <f t="shared" ref="W11:W20" si="19">IF($AM11="DOLE", 1, 0)</f>
        <v>0</v>
      </c>
      <c r="X11" s="417">
        <f t="shared" ref="X11:X20" si="20">IF($AM11="DSWD", 1, 0)</f>
        <v>0</v>
      </c>
      <c r="Y11" s="417">
        <f t="shared" ref="Y11:Y20" si="21">IF($AM11="Civil Service Commission", 1, 0)</f>
        <v>0</v>
      </c>
      <c r="Z11" s="417">
        <f t="shared" ref="Z11:Z20" si="22">IF($AM11="NTC", 1, 0)</f>
        <v>0</v>
      </c>
      <c r="AA11" s="417">
        <f t="shared" ref="AA11:AA20" si="23">IF($AM11="OPAFSAM", 1, 0)</f>
        <v>0</v>
      </c>
      <c r="AB11" s="417">
        <f t="shared" ref="AB11:AB20" si="24">IF($AM11="PRRC", 1, 0)</f>
        <v>0</v>
      </c>
      <c r="AC11" s="417">
        <f t="shared" ref="AC11:AC20" si="25">IF($AM11="ARMM", 1, 0)</f>
        <v>0</v>
      </c>
      <c r="AD11" s="417">
        <f t="shared" ref="AD11:AD20" si="26">IF($AM11="Congress", 1, 0)</f>
        <v>0</v>
      </c>
      <c r="AE11" s="417">
        <f t="shared" ref="AE11:AE20" si="27">IF($AM11="DFA", 1, 0)</f>
        <v>0</v>
      </c>
      <c r="AF11" s="417">
        <f t="shared" ref="AF11:AF20" si="28">IF($AM11="LLDA", 1, 0)</f>
        <v>0</v>
      </c>
      <c r="AG11" s="417">
        <f t="shared" ref="AG11:AG20" si="29">IF($AM11="ZCSEZA", 1, 0)</f>
        <v>0</v>
      </c>
      <c r="AH11" s="417">
        <f t="shared" ref="AH11:AH20" si="30">IF($AM11="PCOO", 1, 0)</f>
        <v>0</v>
      </c>
      <c r="AI11" s="417">
        <f t="shared" ref="AI11:AI20" si="31">IF($AM11="PHLPOST", 1, 0)</f>
        <v>0</v>
      </c>
      <c r="AJ11" s="417">
        <f t="shared" ref="AJ11:AJ20" si="32">IF($AM11="PRA", 1, 0)</f>
        <v>0</v>
      </c>
      <c r="AK11" s="417">
        <f t="shared" ref="AK11:AK20" si="33">IF($AM11="Other Executive Offices", 1, 0)</f>
        <v>0</v>
      </c>
      <c r="AL11" s="417">
        <f t="shared" ref="AL11:AL20" si="34">IF(SUM(D11:AK11)=0, 1, 0)</f>
        <v>1</v>
      </c>
      <c r="AM11" s="419"/>
      <c r="AN11" s="419"/>
      <c r="AO11" s="419"/>
      <c r="AP11" s="419"/>
      <c r="AQ11" s="419"/>
      <c r="AR11" s="403"/>
      <c r="AS11" s="403"/>
      <c r="AT11" s="403"/>
      <c r="AU11" s="403"/>
      <c r="AV11" s="413">
        <f t="shared" ref="AV11:AV20" si="35">IF($BB11="Energy", 1, 0)</f>
        <v>0</v>
      </c>
      <c r="AW11" s="413">
        <f t="shared" ref="AW11:AW20" si="36">IF($BB11="ICT", 1, 0)</f>
        <v>0</v>
      </c>
      <c r="AX11" s="413">
        <f t="shared" ref="AX11:AX20" si="37">IF($BB11="Social Infrastructure", 1, 0)</f>
        <v>0</v>
      </c>
      <c r="AY11" s="413">
        <f t="shared" ref="AY11:AY20" si="38">IF($BB11="Transportation", 1, 0)</f>
        <v>0</v>
      </c>
      <c r="AZ11" s="413">
        <f t="shared" ref="AZ11:AZ20" si="39">IF($BB11="Water Resources", 1, 0)</f>
        <v>0</v>
      </c>
      <c r="BA11" s="413">
        <f t="shared" ref="BA11:BA20" si="40">IF(OR($BB11="Others", $BB11="" ),1, 0)</f>
        <v>1</v>
      </c>
      <c r="BB11" s="419"/>
      <c r="BC11" s="419"/>
      <c r="BD11" s="413">
        <f t="shared" ref="BD11:BD20" si="41">IF($BH11="Nationwide", 1, 0)</f>
        <v>0</v>
      </c>
      <c r="BE11" s="413">
        <f t="shared" ref="BE11:BE20" si="42">IF($BH11="Interregional", 1, 0)</f>
        <v>0</v>
      </c>
      <c r="BF11" s="413">
        <f t="shared" ref="BF11:BF20" si="43">IF($BH11="Region-Specific", 1, 0)</f>
        <v>0</v>
      </c>
      <c r="BG11" s="413">
        <f t="shared" ref="BG11:BG20" si="44">IF(OR($BH11="Not indicated", $BH11="" ),1, 0)</f>
        <v>1</v>
      </c>
      <c r="BH11" s="417"/>
      <c r="BI11" s="417">
        <f t="shared" ref="BI11:BI20" si="45">IF($BF11=1, IF($BZ11="Region I", 1, 0), 0)</f>
        <v>0</v>
      </c>
      <c r="BJ11" s="417">
        <f t="shared" ref="BJ11:BJ20" si="46">IF($BF11=1, IF($BZ11="Region II", 1, 0), 0)</f>
        <v>0</v>
      </c>
      <c r="BK11" s="417">
        <f t="shared" ref="BK11:BK20" si="47">IF($BF11=1, IF($BZ11="Region III", 1, 0), 0)</f>
        <v>0</v>
      </c>
      <c r="BL11" s="417">
        <f t="shared" ref="BL11:BL20" si="48">IF($BF11=1, IF($BZ11="Region IV-A", 1, 0), 0)</f>
        <v>0</v>
      </c>
      <c r="BM11" s="417">
        <f t="shared" ref="BM11:BM20" si="49">IF($BF11=1, IF($BZ11="Region IV-B", 1, 0), 0)</f>
        <v>0</v>
      </c>
      <c r="BN11" s="417">
        <f t="shared" ref="BN11:BN20" si="50">IF($BF11=1, IF($BZ11="Region V", 1, 0), 0)</f>
        <v>0</v>
      </c>
      <c r="BO11" s="417">
        <f t="shared" ref="BO11:BO20" si="51">IF($BF11=1, IF($BZ11="Region VI", 1, 0), 0)</f>
        <v>0</v>
      </c>
      <c r="BP11" s="417">
        <f t="shared" ref="BP11:BP20" si="52">IF($BF11=1, IF($BZ11="Region VII", 1, 0), 0)</f>
        <v>0</v>
      </c>
      <c r="BQ11" s="417">
        <f t="shared" ref="BQ11:BQ20" si="53">IF($BF11=1, IF($BZ11="Region VIII", 1, 0), 0)</f>
        <v>0</v>
      </c>
      <c r="BR11" s="417">
        <f t="shared" ref="BR11:BR20" si="54">IF($BF11=1, IF($BZ11="Region IX", 1, 0), 0)</f>
        <v>0</v>
      </c>
      <c r="BS11" s="417">
        <f t="shared" ref="BS11:BS20" si="55">IF($BF11=1, IF($BZ11="Region X", 1, 0), 0)</f>
        <v>0</v>
      </c>
      <c r="BT11" s="417">
        <f t="shared" ref="BT11:BT20" si="56">IF($BF11=1, IF($BZ11="Region XI", 1, 0), 0)</f>
        <v>0</v>
      </c>
      <c r="BU11" s="417">
        <f t="shared" ref="BU11:BU20" si="57">IF($BF11=1, IF($BZ11="Region XII", 1, 0), 0)</f>
        <v>0</v>
      </c>
      <c r="BV11" s="417">
        <f t="shared" ref="BV11:BV20" si="58">IF($BF11=1, IF($BZ11="NCR", 1, 0), 0)</f>
        <v>0</v>
      </c>
      <c r="BW11" s="417">
        <f t="shared" ref="BW11:BW20" si="59">IF($BF11=1, IF($BZ11="CAR", 1, 0), 0)</f>
        <v>0</v>
      </c>
      <c r="BX11" s="417">
        <f t="shared" ref="BX11:BX20" si="60">IF($BF11=1, IF($BZ11="ARMM", 1, 0), 0)</f>
        <v>0</v>
      </c>
      <c r="BY11" s="417">
        <f t="shared" ref="BY11:BY20" si="61">IF($BF11=1, IF($BZ11="CARAGA", 1, 0), 0)</f>
        <v>0</v>
      </c>
      <c r="BZ11" s="417"/>
      <c r="CA11" s="417"/>
      <c r="CB11" s="401"/>
      <c r="CC11" s="414" t="str">
        <f t="shared" ref="CC11:CC20" si="62">IF($CI11="Competitiveness enhanced", $HT11, "")</f>
        <v/>
      </c>
      <c r="CD11" s="414" t="str">
        <f t="shared" ref="CD11:CD20" si="63">IF($CI11="Safer environment created", $HT11, "")</f>
        <v/>
      </c>
      <c r="CE11" s="414" t="str">
        <f t="shared" ref="CE11:CE20" si="64">IF($CI11="Basic infrastructure services enhanced", $HT11, "")</f>
        <v/>
      </c>
      <c r="CF11" s="414" t="str">
        <f t="shared" ref="CF11:CF20" si="65">IF($CI11="Environmental quality improved", $HT11, "")</f>
        <v/>
      </c>
      <c r="CG11" s="414" t="str">
        <f t="shared" ref="CG11:CG20" si="66">IF($CI11="Governance improved", $HT11, "")</f>
        <v/>
      </c>
      <c r="CH11" s="414" t="str">
        <f t="shared" ref="CH11:CH20" si="67">IF($CI11="Others", $HT11, "")</f>
        <v/>
      </c>
      <c r="CI11" s="403"/>
      <c r="CJ11" s="403"/>
      <c r="CK11" s="417"/>
      <c r="CL11" s="417"/>
      <c r="CM11" s="401" t="str">
        <f t="shared" ref="CM11:CM20" si="68">IF(AND(AU11&lt;&gt;"Administrative", OR(HT11&gt;=1000000, HV11&gt;=1000000)),"Yes","No")</f>
        <v>No</v>
      </c>
      <c r="CN11" s="402">
        <f t="shared" ref="CN11:CN20" si="69">IF(CM11="Yes", HT11, 0)</f>
        <v>0</v>
      </c>
      <c r="CO11" s="402"/>
      <c r="CP11" s="402" t="str">
        <f t="shared" ref="CP11:CP20" si="70">IF(AND($HT11&gt;=1000000, SUM($DF11)=1,$CM11="Yes"), $HT11, "")</f>
        <v/>
      </c>
      <c r="CQ11" s="402" t="str">
        <f t="shared" ref="CQ11:CQ20" si="71">IF(AND($HT11&gt;=1000000, SUM($DG11)=1,$CM11="Yes"), $HT11, "")</f>
        <v/>
      </c>
      <c r="CR11" s="402" t="str">
        <f t="shared" ref="CR11:CR20" si="72">IF(AND($HT11&gt;=1000000, SUM($DH11)=1,$CM11="Yes"), $HT11, "")</f>
        <v/>
      </c>
      <c r="CS11" s="402" t="str">
        <f t="shared" ref="CS11:CS20" si="73">IF(SUM(CP11:CR11)&gt;0,1,"")</f>
        <v/>
      </c>
      <c r="CT11" s="402"/>
      <c r="CU11" s="401"/>
      <c r="CV11" s="419"/>
      <c r="CW11" s="420">
        <f t="shared" ref="CW11:CW20" si="74">IF($EQ11&gt;0, 1, 0)</f>
        <v>0</v>
      </c>
      <c r="CX11" s="413">
        <f t="shared" ref="CX11:CX20" si="75">IF(CW11=0, IF($EZ11&gt;0, 1, 0), 0)</f>
        <v>0</v>
      </c>
      <c r="CY11" s="413">
        <f t="shared" ref="CY11:CY20" si="76">IF(SUM(CW11:CX11)=0, IF($FI11&gt;0, 1, 0), 0)</f>
        <v>0</v>
      </c>
      <c r="CZ11" s="413">
        <f t="shared" ref="CZ11:CZ20" si="77">IF(SUM(CW11:CY11)=0, IF($FR11&gt;0, 1, 0), 0)</f>
        <v>0</v>
      </c>
      <c r="DA11" s="413">
        <f t="shared" ref="DA11:DA20" si="78">IF(SUM(CW11:CZ11)=0, IF($GJ11&gt;0, 1, 0), 0)</f>
        <v>0</v>
      </c>
      <c r="DB11" s="413">
        <f t="shared" ref="DB11:DB20" si="79">IF(SUM(CW11:DA11)=0, IF($HK11&gt;0, 1, 0), 0)</f>
        <v>0</v>
      </c>
      <c r="DC11" s="413">
        <f t="shared" ref="DC11:DC20" si="80">IF(SUM(CW11:DB11)=0, 1, 0)</f>
        <v>1</v>
      </c>
      <c r="DD11" s="805"/>
      <c r="DE11" s="806" t="str">
        <f t="shared" ref="DE11:DE20" si="81">IF(SUM(DF11:DI11)=0, IF($EQ11&gt;0, 1, ""), "")</f>
        <v/>
      </c>
      <c r="DF11" s="807" t="str">
        <f t="shared" ref="DF11:DF20" si="82">IF(SUM(DG11:DI11)=0, IF($EZ11&gt;0, 1, ""), "")</f>
        <v/>
      </c>
      <c r="DG11" s="807" t="str">
        <f t="shared" ref="DG11:DG20" si="83">IF(SUM(DH11:DI11)=0, IF($FI11&gt;0, 1, ""), "")</f>
        <v/>
      </c>
      <c r="DH11" s="807" t="str">
        <f t="shared" ref="DH11:DH20" si="84">IF(SUM(DI11)=0, IF($FR11&gt;0, 1, ""), "")</f>
        <v/>
      </c>
      <c r="DI11" s="807" t="str">
        <f t="shared" ref="DI11:DI20" si="85">IF($GJ11&gt;0, 1, "")</f>
        <v/>
      </c>
      <c r="DJ11" s="807" t="str">
        <f t="shared" ref="DJ11:DJ20" si="86">IF(SUM(DE11:DI11)=0, IF($HK11&gt;0, 1, ""), "")</f>
        <v/>
      </c>
      <c r="DK11" s="807">
        <f t="shared" ref="DK11:DK20" si="87">IF(SUM(DE11:DJ11)=0, 1, "")</f>
        <v>1</v>
      </c>
      <c r="DL11" s="805"/>
      <c r="DM11" s="805"/>
      <c r="DN11" s="808" t="str">
        <f>IF(HT11=0, "No cost", IF(OR(EQ11=HT11,EZ11=HT11,FI11=HT11,FR11=HT11,EH11=HT11,DY11=HT11,GA11=HT11), "Single", "Multi-year"))</f>
        <v>No cost</v>
      </c>
      <c r="DO11" s="805" t="str">
        <f t="shared" ref="DO11:DO20" si="88">IF(AND(HT11&lt;&gt;0,HT11=HR11), "Yes", "No")</f>
        <v>No</v>
      </c>
      <c r="DP11" s="417"/>
      <c r="DR11" s="414"/>
      <c r="DS11" s="414"/>
      <c r="DT11" s="414"/>
      <c r="DU11" s="414"/>
      <c r="DV11" s="414"/>
      <c r="DW11" s="414"/>
      <c r="DX11" s="414"/>
      <c r="DY11" s="414">
        <f t="shared" ref="DY11:DY20" si="89">SUM(DQ11:DX11)</f>
        <v>0</v>
      </c>
      <c r="EA11" s="414"/>
      <c r="EB11" s="414"/>
      <c r="EC11" s="414"/>
      <c r="ED11" s="414"/>
      <c r="EE11" s="414"/>
      <c r="EF11" s="414"/>
      <c r="EG11" s="414"/>
      <c r="EH11" s="414">
        <f t="shared" ref="EH11:EH20" si="90">SUM(DZ11:EG11)</f>
        <v>0</v>
      </c>
      <c r="EJ11" s="414"/>
      <c r="EK11" s="414"/>
      <c r="EL11" s="414"/>
      <c r="EM11" s="414"/>
      <c r="EN11" s="414"/>
      <c r="EO11" s="414"/>
      <c r="EP11" s="414"/>
      <c r="EQ11" s="414">
        <f t="shared" ref="EQ11:EQ20" si="91">SUM(EI11:EP11)</f>
        <v>0</v>
      </c>
      <c r="ER11" s="414"/>
      <c r="ES11" s="414"/>
      <c r="ET11" s="414"/>
      <c r="EU11" s="414"/>
      <c r="EV11" s="414"/>
      <c r="EW11" s="414"/>
      <c r="EX11" s="414"/>
      <c r="EY11" s="414"/>
      <c r="EZ11" s="412">
        <f t="shared" ref="EZ11:EZ20" si="92">SUM(ER11:EY11)</f>
        <v>0</v>
      </c>
      <c r="FA11" s="414"/>
      <c r="FB11" s="414"/>
      <c r="FC11" s="414"/>
      <c r="FD11" s="414"/>
      <c r="FE11" s="414"/>
      <c r="FF11" s="414"/>
      <c r="FG11" s="414"/>
      <c r="FH11" s="414"/>
      <c r="FI11" s="412">
        <f t="shared" ref="FI11:FI20" si="93">SUM(FA11:FH11)</f>
        <v>0</v>
      </c>
      <c r="FJ11" s="414"/>
      <c r="FK11" s="414"/>
      <c r="FL11" s="414"/>
      <c r="FM11" s="414"/>
      <c r="FN11" s="414"/>
      <c r="FO11" s="414"/>
      <c r="FP11" s="414"/>
      <c r="FQ11" s="414"/>
      <c r="FR11" s="411">
        <f t="shared" ref="FR11:FR20" si="94">SUM(FJ11:FQ11)</f>
        <v>0</v>
      </c>
      <c r="FS11" s="414"/>
      <c r="FT11" s="414"/>
      <c r="FU11" s="414"/>
      <c r="FV11" s="414"/>
      <c r="FW11" s="414"/>
      <c r="FX11" s="414"/>
      <c r="FY11" s="414"/>
      <c r="FZ11" s="414"/>
      <c r="GA11" s="412">
        <f t="shared" ref="GA11:GA20" si="95">SUM(FS11:FZ11)</f>
        <v>0</v>
      </c>
      <c r="GB11" s="414"/>
      <c r="GC11" s="414"/>
      <c r="GD11" s="414"/>
      <c r="GE11" s="414"/>
      <c r="GF11" s="414"/>
      <c r="GG11" s="414"/>
      <c r="GH11" s="414"/>
      <c r="GI11" s="414"/>
      <c r="GJ11" s="412">
        <f t="shared" ref="GJ11:GJ20" si="96">SUM(GB11:GI11)</f>
        <v>0</v>
      </c>
      <c r="GK11" s="412">
        <f t="shared" ref="GK11:GK20" si="97">EI11+ER11+FA11+FJ11</f>
        <v>0</v>
      </c>
      <c r="GL11" s="412">
        <f t="shared" ref="GL11:GL20" si="98">EJ11+ES11+FB11+FK11</f>
        <v>0</v>
      </c>
      <c r="GM11" s="412">
        <f t="shared" ref="GM11:GM20" si="99">EK11+ET11+FC11+FL11</f>
        <v>0</v>
      </c>
      <c r="GN11" s="412">
        <f t="shared" ref="GN11:GN20" si="100">EL11+EU11+FD11+FM11</f>
        <v>0</v>
      </c>
      <c r="GO11" s="412">
        <f t="shared" ref="GO11:GO20" si="101">EM11+EV11+FE11+FN11</f>
        <v>0</v>
      </c>
      <c r="GP11" s="412">
        <f t="shared" ref="GP11:GP20" si="102">EN11+EW11+FF11+FO11</f>
        <v>0</v>
      </c>
      <c r="GQ11" s="412">
        <f t="shared" ref="GQ11:GQ20" si="103">EO11+EX11+FG11+FP11</f>
        <v>0</v>
      </c>
      <c r="GR11" s="412">
        <f t="shared" ref="GR11:GR20" si="104">EP11+EY11+FH11+FQ11</f>
        <v>0</v>
      </c>
      <c r="GS11" s="402">
        <f t="shared" ref="GS11:GS20" si="105">SUM(GK11:GR11)</f>
        <v>0</v>
      </c>
      <c r="GT11" s="412">
        <f t="shared" ref="GT11:GZ20" si="106">DQ11+DZ11+EI11+ER11+FA11+FJ11+FS11+GB11</f>
        <v>0</v>
      </c>
      <c r="GU11" s="412">
        <f t="shared" si="106"/>
        <v>0</v>
      </c>
      <c r="GV11" s="412">
        <f t="shared" si="106"/>
        <v>0</v>
      </c>
      <c r="GW11" s="412">
        <f t="shared" si="106"/>
        <v>0</v>
      </c>
      <c r="GX11" s="412">
        <f t="shared" si="106"/>
        <v>0</v>
      </c>
      <c r="GY11" s="412">
        <f t="shared" si="106"/>
        <v>0</v>
      </c>
      <c r="GZ11" s="412">
        <f t="shared" si="106"/>
        <v>0</v>
      </c>
      <c r="HA11" s="412">
        <f>DX11+EG11+EP11+EY11+FH11+FQ11+FZ11+GI11</f>
        <v>0</v>
      </c>
      <c r="HB11" s="812">
        <f>DY11+EH11+EQ11+EZ11+FI11+FR11+GA11+GJ11</f>
        <v>0</v>
      </c>
      <c r="HC11" s="414"/>
      <c r="HD11" s="414"/>
      <c r="HE11" s="414"/>
      <c r="HF11" s="414"/>
      <c r="HG11" s="414"/>
      <c r="HH11" s="414"/>
      <c r="HI11" s="414"/>
      <c r="HJ11" s="590"/>
      <c r="HK11" s="412">
        <f t="shared" ref="HK11:HK20" si="107">SUM(HC11:HJ11)</f>
        <v>0</v>
      </c>
      <c r="HL11" s="414">
        <f t="shared" ref="HL11:HL20" si="108">+GT11+HC11</f>
        <v>0</v>
      </c>
      <c r="HM11" s="414">
        <f t="shared" ref="HM11:HM20" si="109">+GU11+HD11</f>
        <v>0</v>
      </c>
      <c r="HN11" s="414">
        <f t="shared" ref="HN11:HN20" si="110">+GV11+HE11</f>
        <v>0</v>
      </c>
      <c r="HO11" s="414">
        <f t="shared" ref="HO11:HO20" si="111">+GW11+HF11</f>
        <v>0</v>
      </c>
      <c r="HP11" s="414">
        <f t="shared" ref="HP11:HP20" si="112">+GX11+HG11</f>
        <v>0</v>
      </c>
      <c r="HQ11" s="414">
        <f t="shared" ref="HQ11:HQ20" si="113">+GY11+HH11</f>
        <v>0</v>
      </c>
      <c r="HR11" s="414">
        <f t="shared" ref="HR11:HR20" si="114">+GZ11+HI11</f>
        <v>0</v>
      </c>
      <c r="HS11" s="414">
        <f t="shared" ref="HS11:HS20" si="115">+HA11+HJ11</f>
        <v>0</v>
      </c>
      <c r="HT11" s="412">
        <f t="shared" ref="HT11:HT20" si="116">SUM(HL11:HS11)</f>
        <v>0</v>
      </c>
      <c r="HU11" s="415">
        <f t="shared" ref="HU11:HU20" si="117">IF(HV11&lt;=0,0,HV11-HT11)</f>
        <v>0</v>
      </c>
      <c r="HV11" s="402"/>
      <c r="HW11" s="414" t="str">
        <f t="shared" ref="HW11:HW20" si="118">IF(AND($IE11=1, $CY11=1, OR($AU11&lt;&gt;"Study", $AU11&lt;&gt;"Capacity Development", $AU11&lt;&gt;"To be determined", $AU11&lt;&gt;"Administrative", $AU11&lt;&gt;"Others", $AU11&lt;&gt;"Financing windows")), $HT11, "")</f>
        <v/>
      </c>
      <c r="HX11" s="414" t="str">
        <f t="shared" ref="HX11:HX20" si="119">IF(AND($IE11=1, $CZ11=1, OR($AU11&lt;&gt;"Study", $AU11&lt;&gt;"Capacity Development", $AU11&lt;&gt;"To be determined", $AU11&lt;&gt;"Administrative", $AU11&lt;&gt;"Others", $AU11&lt;&gt;"Financing windows")), $HT11, "")</f>
        <v/>
      </c>
      <c r="HY11" s="413" t="str">
        <f t="shared" ref="HY11:HY20" si="120">IF(COUNT(HW11:HX11)=1,1,"")</f>
        <v/>
      </c>
      <c r="HZ11" s="414" t="str">
        <f>IF(AND(COUNT(#REF!)=1,$HT11&gt;=1000000, $CM11="Yes"),$HT11,"")</f>
        <v/>
      </c>
      <c r="IA11" s="414" t="str">
        <f t="shared" ref="IA11:IA20" si="121">IF(AND(COUNT($HW11)=1,$HT11&gt;=1000000, $CM11="Yes"),$HT11,"")</f>
        <v/>
      </c>
      <c r="IB11" s="414" t="str">
        <f t="shared" ref="IB11:IB20" si="122">IF(AND(COUNT($HX11)=1,$HT11&gt;=1000000, $CM11="Yes"),$HT11,"")</f>
        <v/>
      </c>
      <c r="IC11" s="419" t="str">
        <f t="shared" ref="IC11:IC20" si="123">IF(COUNT(HZ11:IB11)=1,1,"")</f>
        <v/>
      </c>
      <c r="ID11" s="416"/>
      <c r="IE11" s="413">
        <f t="shared" ref="IE11:IE20" si="124">IF($IN11="Proposed", 1, 0)</f>
        <v>0</v>
      </c>
      <c r="IF11" s="414" t="str">
        <f t="shared" ref="IF11:IF20" si="125">IF(AND($IE11=1,HT11&gt;=1000000),$HT11,"")</f>
        <v/>
      </c>
      <c r="IG11" s="414">
        <f t="shared" ref="IG11:IG20" si="126">IF(IN11="Proposed",$HT11,0)</f>
        <v>0</v>
      </c>
      <c r="IH11" s="414">
        <f t="shared" ref="IH11:IH20" si="127">IF(IN11="Ongoing",$HT11,0)</f>
        <v>0</v>
      </c>
      <c r="II11" s="414">
        <f t="shared" ref="II11:II20" si="128">IF(IN11="Ongoing - with legal issues",$HT11,0)</f>
        <v>0</v>
      </c>
      <c r="IJ11" s="414">
        <f t="shared" ref="IJ11:IJ20" si="129">IF(IN11="Completed",$HT11,0)</f>
        <v>0</v>
      </c>
      <c r="IK11" s="414">
        <f t="shared" ref="IK11:IK20" si="130">IF(IN11="Others",$HT11,0)</f>
        <v>0</v>
      </c>
      <c r="IL11" s="414">
        <f t="shared" ref="IL11:IL20" si="131">IF(IN11="For bidding/procurement",$HT11,0)</f>
        <v>0</v>
      </c>
      <c r="IM11" s="414">
        <f t="shared" ref="IM11:IM20" si="132">IF(SUM(IG11:IL11)=HT11,1,0)</f>
        <v>1</v>
      </c>
      <c r="IN11" s="413"/>
      <c r="IO11" s="422"/>
      <c r="IP11" s="421"/>
      <c r="IQ11" s="421"/>
      <c r="IR11" s="421"/>
      <c r="IS11" s="740"/>
      <c r="IT11" s="727">
        <f t="shared" ref="IT11:IT20" si="133">EQ11+EZ11+FI11+FR11+GJ11+HK11-HT11</f>
        <v>0</v>
      </c>
      <c r="IU11" s="410" t="e">
        <f>IF(SUM(#REF!)&gt;0,$EQ11,0)</f>
        <v>#REF!</v>
      </c>
      <c r="IV11" s="409" t="e">
        <f>IF(SUM(#REF!)&gt;0,$EZ11,0)</f>
        <v>#REF!</v>
      </c>
    </row>
    <row r="12" spans="1:256" s="237" customFormat="1" ht="37.200000000000003" customHeight="1">
      <c r="A12" s="400">
        <v>221</v>
      </c>
      <c r="B12" s="719">
        <v>2</v>
      </c>
      <c r="C12" s="589"/>
      <c r="D12" s="417">
        <f t="shared" si="0"/>
        <v>0</v>
      </c>
      <c r="E12" s="417">
        <f t="shared" si="1"/>
        <v>0</v>
      </c>
      <c r="F12" s="417">
        <f t="shared" si="2"/>
        <v>0</v>
      </c>
      <c r="G12" s="417">
        <f t="shared" si="3"/>
        <v>0</v>
      </c>
      <c r="H12" s="417">
        <f t="shared" si="4"/>
        <v>0</v>
      </c>
      <c r="I12" s="417">
        <f t="shared" si="5"/>
        <v>0</v>
      </c>
      <c r="J12" s="417">
        <f t="shared" si="6"/>
        <v>0</v>
      </c>
      <c r="K12" s="417">
        <f t="shared" si="7"/>
        <v>0</v>
      </c>
      <c r="L12" s="417">
        <f t="shared" si="8"/>
        <v>0</v>
      </c>
      <c r="M12" s="417">
        <f t="shared" si="9"/>
        <v>0</v>
      </c>
      <c r="N12" s="417">
        <f t="shared" si="10"/>
        <v>0</v>
      </c>
      <c r="O12" s="417">
        <f t="shared" si="11"/>
        <v>0</v>
      </c>
      <c r="P12" s="417">
        <f t="shared" si="12"/>
        <v>0</v>
      </c>
      <c r="Q12" s="417">
        <f t="shared" si="13"/>
        <v>0</v>
      </c>
      <c r="R12" s="417">
        <f t="shared" si="14"/>
        <v>0</v>
      </c>
      <c r="S12" s="417">
        <f t="shared" si="15"/>
        <v>0</v>
      </c>
      <c r="T12" s="417">
        <f t="shared" si="16"/>
        <v>0</v>
      </c>
      <c r="U12" s="417">
        <f t="shared" si="17"/>
        <v>0</v>
      </c>
      <c r="V12" s="417">
        <f t="shared" si="18"/>
        <v>0</v>
      </c>
      <c r="W12" s="417">
        <f t="shared" si="19"/>
        <v>0</v>
      </c>
      <c r="X12" s="417">
        <f t="shared" si="20"/>
        <v>0</v>
      </c>
      <c r="Y12" s="417">
        <f t="shared" si="21"/>
        <v>0</v>
      </c>
      <c r="Z12" s="417">
        <f t="shared" si="22"/>
        <v>0</v>
      </c>
      <c r="AA12" s="417">
        <f t="shared" si="23"/>
        <v>0</v>
      </c>
      <c r="AB12" s="417">
        <f t="shared" si="24"/>
        <v>0</v>
      </c>
      <c r="AC12" s="417">
        <f t="shared" si="25"/>
        <v>0</v>
      </c>
      <c r="AD12" s="417">
        <f t="shared" si="26"/>
        <v>0</v>
      </c>
      <c r="AE12" s="417">
        <f t="shared" si="27"/>
        <v>0</v>
      </c>
      <c r="AF12" s="417">
        <f t="shared" si="28"/>
        <v>0</v>
      </c>
      <c r="AG12" s="417">
        <f t="shared" si="29"/>
        <v>0</v>
      </c>
      <c r="AH12" s="417">
        <f t="shared" si="30"/>
        <v>0</v>
      </c>
      <c r="AI12" s="417">
        <f t="shared" si="31"/>
        <v>0</v>
      </c>
      <c r="AJ12" s="417">
        <f t="shared" si="32"/>
        <v>0</v>
      </c>
      <c r="AK12" s="417">
        <f t="shared" si="33"/>
        <v>0</v>
      </c>
      <c r="AL12" s="417">
        <f t="shared" si="34"/>
        <v>1</v>
      </c>
      <c r="AM12" s="419"/>
      <c r="AN12" s="419"/>
      <c r="AO12" s="419"/>
      <c r="AP12" s="419"/>
      <c r="AQ12" s="419"/>
      <c r="AR12" s="403"/>
      <c r="AS12" s="403"/>
      <c r="AT12" s="403"/>
      <c r="AU12" s="403"/>
      <c r="AV12" s="413">
        <f t="shared" si="35"/>
        <v>0</v>
      </c>
      <c r="AW12" s="413">
        <f t="shared" si="36"/>
        <v>0</v>
      </c>
      <c r="AX12" s="413">
        <f t="shared" si="37"/>
        <v>0</v>
      </c>
      <c r="AY12" s="413">
        <f t="shared" si="38"/>
        <v>0</v>
      </c>
      <c r="AZ12" s="413">
        <f t="shared" si="39"/>
        <v>0</v>
      </c>
      <c r="BA12" s="413">
        <f t="shared" si="40"/>
        <v>1</v>
      </c>
      <c r="BB12" s="419"/>
      <c r="BC12" s="419"/>
      <c r="BD12" s="413">
        <f t="shared" si="41"/>
        <v>0</v>
      </c>
      <c r="BE12" s="413">
        <f t="shared" si="42"/>
        <v>0</v>
      </c>
      <c r="BF12" s="413">
        <f t="shared" si="43"/>
        <v>0</v>
      </c>
      <c r="BG12" s="413">
        <f t="shared" si="44"/>
        <v>1</v>
      </c>
      <c r="BH12" s="417"/>
      <c r="BI12" s="417">
        <f t="shared" si="45"/>
        <v>0</v>
      </c>
      <c r="BJ12" s="417">
        <f t="shared" si="46"/>
        <v>0</v>
      </c>
      <c r="BK12" s="417">
        <f t="shared" si="47"/>
        <v>0</v>
      </c>
      <c r="BL12" s="417">
        <f t="shared" si="48"/>
        <v>0</v>
      </c>
      <c r="BM12" s="417">
        <f t="shared" si="49"/>
        <v>0</v>
      </c>
      <c r="BN12" s="417">
        <f t="shared" si="50"/>
        <v>0</v>
      </c>
      <c r="BO12" s="417">
        <f t="shared" si="51"/>
        <v>0</v>
      </c>
      <c r="BP12" s="417">
        <f t="shared" si="52"/>
        <v>0</v>
      </c>
      <c r="BQ12" s="417">
        <f t="shared" si="53"/>
        <v>0</v>
      </c>
      <c r="BR12" s="417">
        <f t="shared" si="54"/>
        <v>0</v>
      </c>
      <c r="BS12" s="417">
        <f t="shared" si="55"/>
        <v>0</v>
      </c>
      <c r="BT12" s="417">
        <f t="shared" si="56"/>
        <v>0</v>
      </c>
      <c r="BU12" s="417">
        <f t="shared" si="57"/>
        <v>0</v>
      </c>
      <c r="BV12" s="417">
        <f t="shared" si="58"/>
        <v>0</v>
      </c>
      <c r="BW12" s="417">
        <f t="shared" si="59"/>
        <v>0</v>
      </c>
      <c r="BX12" s="417">
        <f t="shared" si="60"/>
        <v>0</v>
      </c>
      <c r="BY12" s="417">
        <f t="shared" si="61"/>
        <v>0</v>
      </c>
      <c r="BZ12" s="417"/>
      <c r="CA12" s="417"/>
      <c r="CB12" s="401"/>
      <c r="CC12" s="414" t="str">
        <f t="shared" si="62"/>
        <v/>
      </c>
      <c r="CD12" s="414" t="str">
        <f t="shared" si="63"/>
        <v/>
      </c>
      <c r="CE12" s="414" t="str">
        <f t="shared" si="64"/>
        <v/>
      </c>
      <c r="CF12" s="414" t="str">
        <f t="shared" si="65"/>
        <v/>
      </c>
      <c r="CG12" s="414" t="str">
        <f t="shared" si="66"/>
        <v/>
      </c>
      <c r="CH12" s="414" t="str">
        <f t="shared" si="67"/>
        <v/>
      </c>
      <c r="CI12" s="403"/>
      <c r="CJ12" s="403"/>
      <c r="CK12" s="417"/>
      <c r="CL12" s="417"/>
      <c r="CM12" s="401" t="str">
        <f t="shared" si="68"/>
        <v>No</v>
      </c>
      <c r="CN12" s="402">
        <f t="shared" si="69"/>
        <v>0</v>
      </c>
      <c r="CO12" s="402"/>
      <c r="CP12" s="402" t="str">
        <f t="shared" si="70"/>
        <v/>
      </c>
      <c r="CQ12" s="402" t="str">
        <f t="shared" si="71"/>
        <v/>
      </c>
      <c r="CR12" s="402" t="str">
        <f t="shared" si="72"/>
        <v/>
      </c>
      <c r="CS12" s="402" t="str">
        <f t="shared" si="73"/>
        <v/>
      </c>
      <c r="CT12" s="402"/>
      <c r="CU12" s="401"/>
      <c r="CV12" s="419"/>
      <c r="CW12" s="420">
        <f t="shared" si="74"/>
        <v>0</v>
      </c>
      <c r="CX12" s="413">
        <f t="shared" si="75"/>
        <v>0</v>
      </c>
      <c r="CY12" s="413">
        <f t="shared" si="76"/>
        <v>0</v>
      </c>
      <c r="CZ12" s="413">
        <f t="shared" si="77"/>
        <v>0</v>
      </c>
      <c r="DA12" s="413">
        <f t="shared" si="78"/>
        <v>0</v>
      </c>
      <c r="DB12" s="413">
        <f t="shared" si="79"/>
        <v>0</v>
      </c>
      <c r="DC12" s="413">
        <f t="shared" si="80"/>
        <v>1</v>
      </c>
      <c r="DD12" s="805"/>
      <c r="DE12" s="806" t="str">
        <f t="shared" si="81"/>
        <v/>
      </c>
      <c r="DF12" s="807" t="str">
        <f t="shared" si="82"/>
        <v/>
      </c>
      <c r="DG12" s="807" t="str">
        <f t="shared" si="83"/>
        <v/>
      </c>
      <c r="DH12" s="807" t="str">
        <f t="shared" si="84"/>
        <v/>
      </c>
      <c r="DI12" s="807" t="str">
        <f t="shared" si="85"/>
        <v/>
      </c>
      <c r="DJ12" s="807" t="str">
        <f t="shared" si="86"/>
        <v/>
      </c>
      <c r="DK12" s="807">
        <f t="shared" si="87"/>
        <v>1</v>
      </c>
      <c r="DL12" s="805"/>
      <c r="DM12" s="805"/>
      <c r="DN12" s="808" t="str">
        <f t="shared" ref="DN12:DN20" si="134">IF(HT12=0, "No cost", IF(OR(EQ12=HT12,EZ12=HT12,FI12=HT12,FR12=HT12,EH12=HT12,DY12=HT12,GA12=HT12), "Single", "Multi-year"))</f>
        <v>No cost</v>
      </c>
      <c r="DO12" s="805" t="str">
        <f t="shared" si="88"/>
        <v>No</v>
      </c>
      <c r="DP12" s="417"/>
      <c r="DR12" s="414"/>
      <c r="DS12" s="414"/>
      <c r="DT12" s="414"/>
      <c r="DU12" s="414"/>
      <c r="DV12" s="414"/>
      <c r="DW12" s="414"/>
      <c r="DX12" s="414"/>
      <c r="DY12" s="414">
        <f t="shared" si="89"/>
        <v>0</v>
      </c>
      <c r="EA12" s="414"/>
      <c r="EB12" s="414"/>
      <c r="EC12" s="414"/>
      <c r="ED12" s="414"/>
      <c r="EE12" s="414"/>
      <c r="EF12" s="414"/>
      <c r="EG12" s="414"/>
      <c r="EH12" s="414">
        <f t="shared" si="90"/>
        <v>0</v>
      </c>
      <c r="EJ12" s="414"/>
      <c r="EK12" s="414"/>
      <c r="EL12" s="414"/>
      <c r="EM12" s="414"/>
      <c r="EN12" s="414"/>
      <c r="EO12" s="414"/>
      <c r="EP12" s="414"/>
      <c r="EQ12" s="414">
        <f t="shared" si="91"/>
        <v>0</v>
      </c>
      <c r="ER12" s="414"/>
      <c r="ES12" s="414"/>
      <c r="ET12" s="414"/>
      <c r="EU12" s="414"/>
      <c r="EV12" s="414"/>
      <c r="EW12" s="414"/>
      <c r="EX12" s="414"/>
      <c r="EY12" s="414"/>
      <c r="EZ12" s="412">
        <f t="shared" si="92"/>
        <v>0</v>
      </c>
      <c r="FA12" s="414"/>
      <c r="FB12" s="414"/>
      <c r="FC12" s="414"/>
      <c r="FD12" s="414"/>
      <c r="FE12" s="414"/>
      <c r="FF12" s="414"/>
      <c r="FG12" s="414"/>
      <c r="FH12" s="414"/>
      <c r="FI12" s="412">
        <f t="shared" si="93"/>
        <v>0</v>
      </c>
      <c r="FJ12" s="414"/>
      <c r="FK12" s="414"/>
      <c r="FL12" s="414"/>
      <c r="FM12" s="414"/>
      <c r="FN12" s="414"/>
      <c r="FO12" s="414"/>
      <c r="FP12" s="414"/>
      <c r="FQ12" s="414"/>
      <c r="FR12" s="411">
        <f t="shared" si="94"/>
        <v>0</v>
      </c>
      <c r="FS12" s="414"/>
      <c r="FT12" s="414"/>
      <c r="FU12" s="414"/>
      <c r="FV12" s="414"/>
      <c r="FW12" s="414"/>
      <c r="FX12" s="414"/>
      <c r="FY12" s="414"/>
      <c r="FZ12" s="414"/>
      <c r="GA12" s="412">
        <f t="shared" si="95"/>
        <v>0</v>
      </c>
      <c r="GB12" s="414"/>
      <c r="GC12" s="414"/>
      <c r="GD12" s="414"/>
      <c r="GE12" s="414"/>
      <c r="GF12" s="414"/>
      <c r="GG12" s="414"/>
      <c r="GH12" s="414"/>
      <c r="GI12" s="414"/>
      <c r="GJ12" s="412">
        <f t="shared" si="96"/>
        <v>0</v>
      </c>
      <c r="GK12" s="412">
        <f t="shared" si="97"/>
        <v>0</v>
      </c>
      <c r="GL12" s="412">
        <f t="shared" si="98"/>
        <v>0</v>
      </c>
      <c r="GM12" s="412">
        <f t="shared" si="99"/>
        <v>0</v>
      </c>
      <c r="GN12" s="412">
        <f t="shared" si="100"/>
        <v>0</v>
      </c>
      <c r="GO12" s="412">
        <f t="shared" si="101"/>
        <v>0</v>
      </c>
      <c r="GP12" s="412">
        <f t="shared" si="102"/>
        <v>0</v>
      </c>
      <c r="GQ12" s="412">
        <f t="shared" si="103"/>
        <v>0</v>
      </c>
      <c r="GR12" s="412">
        <f t="shared" si="104"/>
        <v>0</v>
      </c>
      <c r="GS12" s="402">
        <f t="shared" si="105"/>
        <v>0</v>
      </c>
      <c r="GT12" s="412">
        <f t="shared" si="106"/>
        <v>0</v>
      </c>
      <c r="GU12" s="412">
        <f t="shared" si="106"/>
        <v>0</v>
      </c>
      <c r="GV12" s="412">
        <f t="shared" si="106"/>
        <v>0</v>
      </c>
      <c r="GW12" s="412">
        <f t="shared" si="106"/>
        <v>0</v>
      </c>
      <c r="GX12" s="412">
        <f t="shared" si="106"/>
        <v>0</v>
      </c>
      <c r="GY12" s="412">
        <f t="shared" si="106"/>
        <v>0</v>
      </c>
      <c r="GZ12" s="412">
        <f t="shared" si="106"/>
        <v>0</v>
      </c>
      <c r="HA12" s="412">
        <f t="shared" ref="HA12:HA20" si="135">DX12+EG12+EP12+EY12+FH12+FQ12+FZ12+GI12</f>
        <v>0</v>
      </c>
      <c r="HB12" s="812">
        <f t="shared" ref="HB12:HB20" si="136">DY12+EH12+EQ12+EZ12+FI12+FR12+GA12+GJ12</f>
        <v>0</v>
      </c>
      <c r="HC12" s="414"/>
      <c r="HD12" s="414"/>
      <c r="HE12" s="414"/>
      <c r="HF12" s="414"/>
      <c r="HG12" s="414"/>
      <c r="HH12" s="414"/>
      <c r="HI12" s="414"/>
      <c r="HJ12" s="590"/>
      <c r="HK12" s="412">
        <f t="shared" si="107"/>
        <v>0</v>
      </c>
      <c r="HL12" s="414">
        <f t="shared" si="108"/>
        <v>0</v>
      </c>
      <c r="HM12" s="414">
        <f t="shared" si="109"/>
        <v>0</v>
      </c>
      <c r="HN12" s="414">
        <f t="shared" si="110"/>
        <v>0</v>
      </c>
      <c r="HO12" s="414">
        <f t="shared" si="111"/>
        <v>0</v>
      </c>
      <c r="HP12" s="414">
        <f t="shared" si="112"/>
        <v>0</v>
      </c>
      <c r="HQ12" s="414">
        <f t="shared" si="113"/>
        <v>0</v>
      </c>
      <c r="HR12" s="414">
        <f t="shared" si="114"/>
        <v>0</v>
      </c>
      <c r="HS12" s="414">
        <f t="shared" si="115"/>
        <v>0</v>
      </c>
      <c r="HT12" s="412">
        <f t="shared" si="116"/>
        <v>0</v>
      </c>
      <c r="HU12" s="415">
        <f t="shared" si="117"/>
        <v>0</v>
      </c>
      <c r="HV12" s="402"/>
      <c r="HW12" s="414" t="str">
        <f t="shared" si="118"/>
        <v/>
      </c>
      <c r="HX12" s="414" t="str">
        <f t="shared" si="119"/>
        <v/>
      </c>
      <c r="HY12" s="413" t="str">
        <f t="shared" si="120"/>
        <v/>
      </c>
      <c r="HZ12" s="414" t="str">
        <f>IF(AND(COUNT(#REF!)=1,$HT12&gt;=1000000, $CM12="Yes"),$HT12,"")</f>
        <v/>
      </c>
      <c r="IA12" s="414" t="str">
        <f t="shared" si="121"/>
        <v/>
      </c>
      <c r="IB12" s="414" t="str">
        <f t="shared" si="122"/>
        <v/>
      </c>
      <c r="IC12" s="419" t="str">
        <f t="shared" si="123"/>
        <v/>
      </c>
      <c r="ID12" s="416"/>
      <c r="IE12" s="413">
        <f t="shared" si="124"/>
        <v>0</v>
      </c>
      <c r="IF12" s="414" t="str">
        <f t="shared" si="125"/>
        <v/>
      </c>
      <c r="IG12" s="414">
        <f t="shared" si="126"/>
        <v>0</v>
      </c>
      <c r="IH12" s="414">
        <f t="shared" si="127"/>
        <v>0</v>
      </c>
      <c r="II12" s="414">
        <f t="shared" si="128"/>
        <v>0</v>
      </c>
      <c r="IJ12" s="414">
        <f t="shared" si="129"/>
        <v>0</v>
      </c>
      <c r="IK12" s="414">
        <f t="shared" si="130"/>
        <v>0</v>
      </c>
      <c r="IL12" s="414">
        <f t="shared" si="131"/>
        <v>0</v>
      </c>
      <c r="IM12" s="414">
        <f t="shared" si="132"/>
        <v>1</v>
      </c>
      <c r="IN12" s="413"/>
      <c r="IO12" s="422"/>
      <c r="IP12" s="421"/>
      <c r="IQ12" s="421"/>
      <c r="IR12" s="421"/>
      <c r="IS12" s="740"/>
      <c r="IT12" s="727">
        <f t="shared" si="133"/>
        <v>0</v>
      </c>
      <c r="IU12" s="410" t="e">
        <f>IF(SUM(#REF!)&gt;0,$EQ12,0)</f>
        <v>#REF!</v>
      </c>
      <c r="IV12" s="409" t="e">
        <f>IF(SUM(#REF!)&gt;0,$EZ12,0)</f>
        <v>#REF!</v>
      </c>
    </row>
    <row r="13" spans="1:256" s="237" customFormat="1" ht="37.200000000000003" customHeight="1">
      <c r="A13" s="400">
        <v>221</v>
      </c>
      <c r="B13" s="719">
        <v>3</v>
      </c>
      <c r="C13" s="589"/>
      <c r="D13" s="417">
        <f t="shared" si="0"/>
        <v>0</v>
      </c>
      <c r="E13" s="417">
        <f t="shared" si="1"/>
        <v>0</v>
      </c>
      <c r="F13" s="417">
        <f t="shared" si="2"/>
        <v>0</v>
      </c>
      <c r="G13" s="417">
        <f t="shared" si="3"/>
        <v>0</v>
      </c>
      <c r="H13" s="417">
        <f t="shared" si="4"/>
        <v>0</v>
      </c>
      <c r="I13" s="417">
        <f t="shared" si="5"/>
        <v>0</v>
      </c>
      <c r="J13" s="417">
        <f t="shared" si="6"/>
        <v>0</v>
      </c>
      <c r="K13" s="417">
        <f t="shared" si="7"/>
        <v>0</v>
      </c>
      <c r="L13" s="417">
        <f t="shared" si="8"/>
        <v>0</v>
      </c>
      <c r="M13" s="417">
        <f t="shared" si="9"/>
        <v>0</v>
      </c>
      <c r="N13" s="417">
        <f t="shared" si="10"/>
        <v>0</v>
      </c>
      <c r="O13" s="417">
        <f t="shared" si="11"/>
        <v>0</v>
      </c>
      <c r="P13" s="417">
        <f t="shared" si="12"/>
        <v>0</v>
      </c>
      <c r="Q13" s="417">
        <f t="shared" si="13"/>
        <v>0</v>
      </c>
      <c r="R13" s="417">
        <f t="shared" si="14"/>
        <v>0</v>
      </c>
      <c r="S13" s="417">
        <f t="shared" si="15"/>
        <v>0</v>
      </c>
      <c r="T13" s="417">
        <f t="shared" si="16"/>
        <v>0</v>
      </c>
      <c r="U13" s="417">
        <f t="shared" si="17"/>
        <v>0</v>
      </c>
      <c r="V13" s="417">
        <f t="shared" si="18"/>
        <v>0</v>
      </c>
      <c r="W13" s="417">
        <f t="shared" si="19"/>
        <v>0</v>
      </c>
      <c r="X13" s="417">
        <f t="shared" si="20"/>
        <v>0</v>
      </c>
      <c r="Y13" s="417">
        <f t="shared" si="21"/>
        <v>0</v>
      </c>
      <c r="Z13" s="417">
        <f t="shared" si="22"/>
        <v>0</v>
      </c>
      <c r="AA13" s="417">
        <f t="shared" si="23"/>
        <v>0</v>
      </c>
      <c r="AB13" s="417">
        <f t="shared" si="24"/>
        <v>0</v>
      </c>
      <c r="AC13" s="417">
        <f t="shared" si="25"/>
        <v>0</v>
      </c>
      <c r="AD13" s="417">
        <f t="shared" si="26"/>
        <v>0</v>
      </c>
      <c r="AE13" s="417">
        <f t="shared" si="27"/>
        <v>0</v>
      </c>
      <c r="AF13" s="417">
        <f t="shared" si="28"/>
        <v>0</v>
      </c>
      <c r="AG13" s="417">
        <f t="shared" si="29"/>
        <v>0</v>
      </c>
      <c r="AH13" s="417">
        <f t="shared" si="30"/>
        <v>0</v>
      </c>
      <c r="AI13" s="417">
        <f t="shared" si="31"/>
        <v>0</v>
      </c>
      <c r="AJ13" s="417">
        <f t="shared" si="32"/>
        <v>0</v>
      </c>
      <c r="AK13" s="417">
        <f t="shared" si="33"/>
        <v>0</v>
      </c>
      <c r="AL13" s="417">
        <f t="shared" si="34"/>
        <v>1</v>
      </c>
      <c r="AM13" s="419"/>
      <c r="AN13" s="419"/>
      <c r="AO13" s="419"/>
      <c r="AP13" s="419"/>
      <c r="AQ13" s="419"/>
      <c r="AR13" s="403"/>
      <c r="AS13" s="403"/>
      <c r="AT13" s="403"/>
      <c r="AU13" s="403"/>
      <c r="AV13" s="413">
        <f t="shared" si="35"/>
        <v>0</v>
      </c>
      <c r="AW13" s="413">
        <f t="shared" si="36"/>
        <v>0</v>
      </c>
      <c r="AX13" s="413">
        <f t="shared" si="37"/>
        <v>0</v>
      </c>
      <c r="AY13" s="413">
        <f t="shared" si="38"/>
        <v>0</v>
      </c>
      <c r="AZ13" s="413">
        <f t="shared" si="39"/>
        <v>0</v>
      </c>
      <c r="BA13" s="413">
        <f t="shared" si="40"/>
        <v>1</v>
      </c>
      <c r="BB13" s="419"/>
      <c r="BC13" s="419"/>
      <c r="BD13" s="413">
        <f t="shared" si="41"/>
        <v>0</v>
      </c>
      <c r="BE13" s="413">
        <f t="shared" si="42"/>
        <v>0</v>
      </c>
      <c r="BF13" s="413">
        <f t="shared" si="43"/>
        <v>0</v>
      </c>
      <c r="BG13" s="413">
        <f t="shared" si="44"/>
        <v>1</v>
      </c>
      <c r="BH13" s="417"/>
      <c r="BI13" s="417">
        <f t="shared" si="45"/>
        <v>0</v>
      </c>
      <c r="BJ13" s="417">
        <f t="shared" si="46"/>
        <v>0</v>
      </c>
      <c r="BK13" s="417">
        <f t="shared" si="47"/>
        <v>0</v>
      </c>
      <c r="BL13" s="417">
        <f t="shared" si="48"/>
        <v>0</v>
      </c>
      <c r="BM13" s="417">
        <f t="shared" si="49"/>
        <v>0</v>
      </c>
      <c r="BN13" s="417">
        <f t="shared" si="50"/>
        <v>0</v>
      </c>
      <c r="BO13" s="417">
        <f t="shared" si="51"/>
        <v>0</v>
      </c>
      <c r="BP13" s="417">
        <f t="shared" si="52"/>
        <v>0</v>
      </c>
      <c r="BQ13" s="417">
        <f t="shared" si="53"/>
        <v>0</v>
      </c>
      <c r="BR13" s="417">
        <f t="shared" si="54"/>
        <v>0</v>
      </c>
      <c r="BS13" s="417">
        <f t="shared" si="55"/>
        <v>0</v>
      </c>
      <c r="BT13" s="417">
        <f t="shared" si="56"/>
        <v>0</v>
      </c>
      <c r="BU13" s="417">
        <f t="shared" si="57"/>
        <v>0</v>
      </c>
      <c r="BV13" s="417">
        <f t="shared" si="58"/>
        <v>0</v>
      </c>
      <c r="BW13" s="417">
        <f t="shared" si="59"/>
        <v>0</v>
      </c>
      <c r="BX13" s="417">
        <f t="shared" si="60"/>
        <v>0</v>
      </c>
      <c r="BY13" s="417">
        <f t="shared" si="61"/>
        <v>0</v>
      </c>
      <c r="BZ13" s="417"/>
      <c r="CA13" s="417"/>
      <c r="CB13" s="401"/>
      <c r="CC13" s="414" t="str">
        <f t="shared" si="62"/>
        <v/>
      </c>
      <c r="CD13" s="414" t="str">
        <f t="shared" si="63"/>
        <v/>
      </c>
      <c r="CE13" s="414" t="str">
        <f t="shared" si="64"/>
        <v/>
      </c>
      <c r="CF13" s="414" t="str">
        <f t="shared" si="65"/>
        <v/>
      </c>
      <c r="CG13" s="414" t="str">
        <f t="shared" si="66"/>
        <v/>
      </c>
      <c r="CH13" s="414" t="str">
        <f t="shared" si="67"/>
        <v/>
      </c>
      <c r="CI13" s="403"/>
      <c r="CJ13" s="403"/>
      <c r="CK13" s="417"/>
      <c r="CL13" s="417"/>
      <c r="CM13" s="401" t="str">
        <f t="shared" si="68"/>
        <v>No</v>
      </c>
      <c r="CN13" s="402">
        <f t="shared" si="69"/>
        <v>0</v>
      </c>
      <c r="CO13" s="402"/>
      <c r="CP13" s="402" t="str">
        <f t="shared" si="70"/>
        <v/>
      </c>
      <c r="CQ13" s="402" t="str">
        <f t="shared" si="71"/>
        <v/>
      </c>
      <c r="CR13" s="402" t="str">
        <f t="shared" si="72"/>
        <v/>
      </c>
      <c r="CS13" s="402" t="str">
        <f t="shared" si="73"/>
        <v/>
      </c>
      <c r="CT13" s="402"/>
      <c r="CU13" s="401"/>
      <c r="CV13" s="419"/>
      <c r="CW13" s="420">
        <f t="shared" si="74"/>
        <v>0</v>
      </c>
      <c r="CX13" s="413">
        <f t="shared" si="75"/>
        <v>0</v>
      </c>
      <c r="CY13" s="413">
        <f t="shared" si="76"/>
        <v>0</v>
      </c>
      <c r="CZ13" s="413">
        <f t="shared" si="77"/>
        <v>0</v>
      </c>
      <c r="DA13" s="413">
        <f t="shared" si="78"/>
        <v>0</v>
      </c>
      <c r="DB13" s="413">
        <f t="shared" si="79"/>
        <v>0</v>
      </c>
      <c r="DC13" s="413">
        <f t="shared" si="80"/>
        <v>1</v>
      </c>
      <c r="DD13" s="805"/>
      <c r="DE13" s="806" t="str">
        <f t="shared" si="81"/>
        <v/>
      </c>
      <c r="DF13" s="807" t="str">
        <f t="shared" si="82"/>
        <v/>
      </c>
      <c r="DG13" s="807" t="str">
        <f t="shared" si="83"/>
        <v/>
      </c>
      <c r="DH13" s="807" t="str">
        <f t="shared" si="84"/>
        <v/>
      </c>
      <c r="DI13" s="807" t="str">
        <f t="shared" si="85"/>
        <v/>
      </c>
      <c r="DJ13" s="807" t="str">
        <f t="shared" si="86"/>
        <v/>
      </c>
      <c r="DK13" s="807">
        <f t="shared" si="87"/>
        <v>1</v>
      </c>
      <c r="DL13" s="805"/>
      <c r="DM13" s="805"/>
      <c r="DN13" s="808" t="str">
        <f t="shared" si="134"/>
        <v>No cost</v>
      </c>
      <c r="DO13" s="805" t="str">
        <f t="shared" si="88"/>
        <v>No</v>
      </c>
      <c r="DP13" s="417"/>
      <c r="DR13" s="414"/>
      <c r="DS13" s="414"/>
      <c r="DT13" s="414"/>
      <c r="DU13" s="414"/>
      <c r="DV13" s="414"/>
      <c r="DW13" s="414"/>
      <c r="DX13" s="414"/>
      <c r="DY13" s="414">
        <f t="shared" si="89"/>
        <v>0</v>
      </c>
      <c r="EA13" s="414"/>
      <c r="EB13" s="414"/>
      <c r="EC13" s="414"/>
      <c r="ED13" s="414"/>
      <c r="EE13" s="414"/>
      <c r="EF13" s="414"/>
      <c r="EG13" s="414"/>
      <c r="EH13" s="414">
        <f t="shared" si="90"/>
        <v>0</v>
      </c>
      <c r="EJ13" s="414"/>
      <c r="EK13" s="414"/>
      <c r="EL13" s="414"/>
      <c r="EM13" s="414"/>
      <c r="EN13" s="414"/>
      <c r="EO13" s="414"/>
      <c r="EP13" s="414"/>
      <c r="EQ13" s="414">
        <f t="shared" si="91"/>
        <v>0</v>
      </c>
      <c r="ER13" s="414"/>
      <c r="ES13" s="414"/>
      <c r="ET13" s="414"/>
      <c r="EU13" s="414"/>
      <c r="EV13" s="414"/>
      <c r="EW13" s="414"/>
      <c r="EX13" s="414"/>
      <c r="EY13" s="414"/>
      <c r="EZ13" s="412">
        <f t="shared" si="92"/>
        <v>0</v>
      </c>
      <c r="FA13" s="414"/>
      <c r="FB13" s="414"/>
      <c r="FC13" s="414"/>
      <c r="FD13" s="414"/>
      <c r="FE13" s="414"/>
      <c r="FF13" s="414"/>
      <c r="FG13" s="414"/>
      <c r="FH13" s="414"/>
      <c r="FI13" s="412">
        <f t="shared" si="93"/>
        <v>0</v>
      </c>
      <c r="FJ13" s="414"/>
      <c r="FK13" s="414"/>
      <c r="FL13" s="414"/>
      <c r="FM13" s="414"/>
      <c r="FN13" s="414"/>
      <c r="FO13" s="414"/>
      <c r="FP13" s="414"/>
      <c r="FQ13" s="414"/>
      <c r="FR13" s="411">
        <f t="shared" si="94"/>
        <v>0</v>
      </c>
      <c r="FS13" s="414"/>
      <c r="FT13" s="414"/>
      <c r="FU13" s="414"/>
      <c r="FV13" s="414"/>
      <c r="FW13" s="414"/>
      <c r="FX13" s="414"/>
      <c r="FY13" s="414"/>
      <c r="FZ13" s="414"/>
      <c r="GA13" s="412">
        <f t="shared" si="95"/>
        <v>0</v>
      </c>
      <c r="GB13" s="414"/>
      <c r="GC13" s="414"/>
      <c r="GD13" s="414"/>
      <c r="GE13" s="414"/>
      <c r="GF13" s="414"/>
      <c r="GG13" s="414"/>
      <c r="GH13" s="414"/>
      <c r="GI13" s="414"/>
      <c r="GJ13" s="412">
        <f t="shared" si="96"/>
        <v>0</v>
      </c>
      <c r="GK13" s="412">
        <f t="shared" si="97"/>
        <v>0</v>
      </c>
      <c r="GL13" s="412">
        <f t="shared" si="98"/>
        <v>0</v>
      </c>
      <c r="GM13" s="412">
        <f t="shared" si="99"/>
        <v>0</v>
      </c>
      <c r="GN13" s="412">
        <f t="shared" si="100"/>
        <v>0</v>
      </c>
      <c r="GO13" s="412">
        <f t="shared" si="101"/>
        <v>0</v>
      </c>
      <c r="GP13" s="412">
        <f t="shared" si="102"/>
        <v>0</v>
      </c>
      <c r="GQ13" s="412">
        <f t="shared" si="103"/>
        <v>0</v>
      </c>
      <c r="GR13" s="412">
        <f t="shared" si="104"/>
        <v>0</v>
      </c>
      <c r="GS13" s="402">
        <f t="shared" si="105"/>
        <v>0</v>
      </c>
      <c r="GT13" s="412">
        <f t="shared" si="106"/>
        <v>0</v>
      </c>
      <c r="GU13" s="412">
        <f t="shared" si="106"/>
        <v>0</v>
      </c>
      <c r="GV13" s="412">
        <f t="shared" si="106"/>
        <v>0</v>
      </c>
      <c r="GW13" s="412">
        <f t="shared" si="106"/>
        <v>0</v>
      </c>
      <c r="GX13" s="412">
        <f t="shared" si="106"/>
        <v>0</v>
      </c>
      <c r="GY13" s="412">
        <f t="shared" si="106"/>
        <v>0</v>
      </c>
      <c r="GZ13" s="412">
        <f t="shared" si="106"/>
        <v>0</v>
      </c>
      <c r="HA13" s="412">
        <f t="shared" si="135"/>
        <v>0</v>
      </c>
      <c r="HB13" s="812">
        <f t="shared" si="136"/>
        <v>0</v>
      </c>
      <c r="HC13" s="414"/>
      <c r="HD13" s="414"/>
      <c r="HE13" s="414"/>
      <c r="HF13" s="414"/>
      <c r="HG13" s="414"/>
      <c r="HH13" s="414"/>
      <c r="HI13" s="414"/>
      <c r="HJ13" s="590"/>
      <c r="HK13" s="412">
        <f t="shared" si="107"/>
        <v>0</v>
      </c>
      <c r="HL13" s="414">
        <f t="shared" si="108"/>
        <v>0</v>
      </c>
      <c r="HM13" s="414">
        <f t="shared" si="109"/>
        <v>0</v>
      </c>
      <c r="HN13" s="414">
        <f t="shared" si="110"/>
        <v>0</v>
      </c>
      <c r="HO13" s="414">
        <f t="shared" si="111"/>
        <v>0</v>
      </c>
      <c r="HP13" s="414">
        <f t="shared" si="112"/>
        <v>0</v>
      </c>
      <c r="HQ13" s="414">
        <f t="shared" si="113"/>
        <v>0</v>
      </c>
      <c r="HR13" s="414">
        <f t="shared" si="114"/>
        <v>0</v>
      </c>
      <c r="HS13" s="414">
        <f t="shared" si="115"/>
        <v>0</v>
      </c>
      <c r="HT13" s="412">
        <f t="shared" si="116"/>
        <v>0</v>
      </c>
      <c r="HU13" s="415">
        <f t="shared" si="117"/>
        <v>0</v>
      </c>
      <c r="HV13" s="402"/>
      <c r="HW13" s="414" t="str">
        <f t="shared" si="118"/>
        <v/>
      </c>
      <c r="HX13" s="414" t="str">
        <f t="shared" si="119"/>
        <v/>
      </c>
      <c r="HY13" s="413" t="str">
        <f t="shared" si="120"/>
        <v/>
      </c>
      <c r="HZ13" s="414" t="str">
        <f>IF(AND(COUNT(#REF!)=1,$HT13&gt;=1000000, $CM13="Yes"),$HT13,"")</f>
        <v/>
      </c>
      <c r="IA13" s="414" t="str">
        <f t="shared" si="121"/>
        <v/>
      </c>
      <c r="IB13" s="414" t="str">
        <f t="shared" si="122"/>
        <v/>
      </c>
      <c r="IC13" s="419" t="str">
        <f t="shared" si="123"/>
        <v/>
      </c>
      <c r="ID13" s="416"/>
      <c r="IE13" s="413">
        <f t="shared" si="124"/>
        <v>0</v>
      </c>
      <c r="IF13" s="414" t="str">
        <f t="shared" si="125"/>
        <v/>
      </c>
      <c r="IG13" s="414">
        <f t="shared" si="126"/>
        <v>0</v>
      </c>
      <c r="IH13" s="414">
        <f t="shared" si="127"/>
        <v>0</v>
      </c>
      <c r="II13" s="414">
        <f t="shared" si="128"/>
        <v>0</v>
      </c>
      <c r="IJ13" s="414">
        <f t="shared" si="129"/>
        <v>0</v>
      </c>
      <c r="IK13" s="414">
        <f t="shared" si="130"/>
        <v>0</v>
      </c>
      <c r="IL13" s="414">
        <f t="shared" si="131"/>
        <v>0</v>
      </c>
      <c r="IM13" s="414">
        <f t="shared" si="132"/>
        <v>1</v>
      </c>
      <c r="IN13" s="413"/>
      <c r="IO13" s="422"/>
      <c r="IP13" s="421"/>
      <c r="IQ13" s="421"/>
      <c r="IR13" s="421"/>
      <c r="IS13" s="740"/>
      <c r="IT13" s="727">
        <f t="shared" si="133"/>
        <v>0</v>
      </c>
      <c r="IU13" s="410" t="e">
        <f>IF(SUM(#REF!)&gt;0,$EQ13,0)</f>
        <v>#REF!</v>
      </c>
      <c r="IV13" s="409" t="e">
        <f>IF(SUM(#REF!)&gt;0,$EZ13,0)</f>
        <v>#REF!</v>
      </c>
    </row>
    <row r="14" spans="1:256" s="237" customFormat="1" ht="37.200000000000003" customHeight="1">
      <c r="A14" s="400">
        <v>221</v>
      </c>
      <c r="B14" s="719">
        <v>4</v>
      </c>
      <c r="C14" s="589"/>
      <c r="D14" s="417">
        <f t="shared" si="0"/>
        <v>0</v>
      </c>
      <c r="E14" s="417">
        <f t="shared" si="1"/>
        <v>0</v>
      </c>
      <c r="F14" s="417">
        <f t="shared" si="2"/>
        <v>0</v>
      </c>
      <c r="G14" s="417">
        <f t="shared" si="3"/>
        <v>0</v>
      </c>
      <c r="H14" s="417">
        <f t="shared" si="4"/>
        <v>0</v>
      </c>
      <c r="I14" s="417">
        <f t="shared" si="5"/>
        <v>0</v>
      </c>
      <c r="J14" s="417">
        <f t="shared" si="6"/>
        <v>0</v>
      </c>
      <c r="K14" s="417">
        <f t="shared" si="7"/>
        <v>0</v>
      </c>
      <c r="L14" s="417">
        <f t="shared" si="8"/>
        <v>0</v>
      </c>
      <c r="M14" s="417">
        <f t="shared" si="9"/>
        <v>0</v>
      </c>
      <c r="N14" s="417">
        <f t="shared" si="10"/>
        <v>0</v>
      </c>
      <c r="O14" s="417">
        <f t="shared" si="11"/>
        <v>0</v>
      </c>
      <c r="P14" s="417">
        <f t="shared" si="12"/>
        <v>0</v>
      </c>
      <c r="Q14" s="417">
        <f t="shared" si="13"/>
        <v>0</v>
      </c>
      <c r="R14" s="417">
        <f t="shared" si="14"/>
        <v>0</v>
      </c>
      <c r="S14" s="417">
        <f t="shared" si="15"/>
        <v>0</v>
      </c>
      <c r="T14" s="417">
        <f t="shared" si="16"/>
        <v>0</v>
      </c>
      <c r="U14" s="417">
        <f t="shared" si="17"/>
        <v>0</v>
      </c>
      <c r="V14" s="417">
        <f t="shared" si="18"/>
        <v>0</v>
      </c>
      <c r="W14" s="417">
        <f t="shared" si="19"/>
        <v>0</v>
      </c>
      <c r="X14" s="417">
        <f t="shared" si="20"/>
        <v>0</v>
      </c>
      <c r="Y14" s="417">
        <f t="shared" si="21"/>
        <v>0</v>
      </c>
      <c r="Z14" s="417">
        <f t="shared" si="22"/>
        <v>0</v>
      </c>
      <c r="AA14" s="417">
        <f t="shared" si="23"/>
        <v>0</v>
      </c>
      <c r="AB14" s="417">
        <f t="shared" si="24"/>
        <v>0</v>
      </c>
      <c r="AC14" s="417">
        <f t="shared" si="25"/>
        <v>0</v>
      </c>
      <c r="AD14" s="417">
        <f t="shared" si="26"/>
        <v>0</v>
      </c>
      <c r="AE14" s="417">
        <f t="shared" si="27"/>
        <v>0</v>
      </c>
      <c r="AF14" s="417">
        <f t="shared" si="28"/>
        <v>0</v>
      </c>
      <c r="AG14" s="417">
        <f t="shared" si="29"/>
        <v>0</v>
      </c>
      <c r="AH14" s="417">
        <f t="shared" si="30"/>
        <v>0</v>
      </c>
      <c r="AI14" s="417">
        <f t="shared" si="31"/>
        <v>0</v>
      </c>
      <c r="AJ14" s="417">
        <f t="shared" si="32"/>
        <v>0</v>
      </c>
      <c r="AK14" s="417">
        <f t="shared" si="33"/>
        <v>0</v>
      </c>
      <c r="AL14" s="417">
        <f t="shared" si="34"/>
        <v>1</v>
      </c>
      <c r="AM14" s="419"/>
      <c r="AN14" s="419"/>
      <c r="AO14" s="419"/>
      <c r="AP14" s="419"/>
      <c r="AQ14" s="419"/>
      <c r="AR14" s="403"/>
      <c r="AS14" s="403"/>
      <c r="AT14" s="403"/>
      <c r="AU14" s="403"/>
      <c r="AV14" s="413">
        <f t="shared" si="35"/>
        <v>0</v>
      </c>
      <c r="AW14" s="413">
        <f t="shared" si="36"/>
        <v>0</v>
      </c>
      <c r="AX14" s="413">
        <f t="shared" si="37"/>
        <v>0</v>
      </c>
      <c r="AY14" s="413">
        <f t="shared" si="38"/>
        <v>0</v>
      </c>
      <c r="AZ14" s="413">
        <f t="shared" si="39"/>
        <v>0</v>
      </c>
      <c r="BA14" s="413">
        <f t="shared" si="40"/>
        <v>1</v>
      </c>
      <c r="BB14" s="419"/>
      <c r="BC14" s="419"/>
      <c r="BD14" s="413">
        <f t="shared" si="41"/>
        <v>0</v>
      </c>
      <c r="BE14" s="413">
        <f t="shared" si="42"/>
        <v>0</v>
      </c>
      <c r="BF14" s="413">
        <f t="shared" si="43"/>
        <v>0</v>
      </c>
      <c r="BG14" s="413">
        <f t="shared" si="44"/>
        <v>1</v>
      </c>
      <c r="BH14" s="417"/>
      <c r="BI14" s="417">
        <f t="shared" si="45"/>
        <v>0</v>
      </c>
      <c r="BJ14" s="417">
        <f t="shared" si="46"/>
        <v>0</v>
      </c>
      <c r="BK14" s="417">
        <f t="shared" si="47"/>
        <v>0</v>
      </c>
      <c r="BL14" s="417">
        <f t="shared" si="48"/>
        <v>0</v>
      </c>
      <c r="BM14" s="417">
        <f t="shared" si="49"/>
        <v>0</v>
      </c>
      <c r="BN14" s="417">
        <f t="shared" si="50"/>
        <v>0</v>
      </c>
      <c r="BO14" s="417">
        <f t="shared" si="51"/>
        <v>0</v>
      </c>
      <c r="BP14" s="417">
        <f t="shared" si="52"/>
        <v>0</v>
      </c>
      <c r="BQ14" s="417">
        <f t="shared" si="53"/>
        <v>0</v>
      </c>
      <c r="BR14" s="417">
        <f t="shared" si="54"/>
        <v>0</v>
      </c>
      <c r="BS14" s="417">
        <f t="shared" si="55"/>
        <v>0</v>
      </c>
      <c r="BT14" s="417">
        <f t="shared" si="56"/>
        <v>0</v>
      </c>
      <c r="BU14" s="417">
        <f t="shared" si="57"/>
        <v>0</v>
      </c>
      <c r="BV14" s="417">
        <f t="shared" si="58"/>
        <v>0</v>
      </c>
      <c r="BW14" s="417">
        <f t="shared" si="59"/>
        <v>0</v>
      </c>
      <c r="BX14" s="417">
        <f t="shared" si="60"/>
        <v>0</v>
      </c>
      <c r="BY14" s="417">
        <f t="shared" si="61"/>
        <v>0</v>
      </c>
      <c r="BZ14" s="417"/>
      <c r="CA14" s="417"/>
      <c r="CB14" s="401"/>
      <c r="CC14" s="414" t="str">
        <f t="shared" si="62"/>
        <v/>
      </c>
      <c r="CD14" s="414" t="str">
        <f t="shared" si="63"/>
        <v/>
      </c>
      <c r="CE14" s="414" t="str">
        <f t="shared" si="64"/>
        <v/>
      </c>
      <c r="CF14" s="414" t="str">
        <f t="shared" si="65"/>
        <v/>
      </c>
      <c r="CG14" s="414" t="str">
        <f t="shared" si="66"/>
        <v/>
      </c>
      <c r="CH14" s="414" t="str">
        <f t="shared" si="67"/>
        <v/>
      </c>
      <c r="CI14" s="403"/>
      <c r="CJ14" s="403"/>
      <c r="CK14" s="417"/>
      <c r="CL14" s="417"/>
      <c r="CM14" s="401" t="str">
        <f t="shared" si="68"/>
        <v>No</v>
      </c>
      <c r="CN14" s="402">
        <f t="shared" si="69"/>
        <v>0</v>
      </c>
      <c r="CO14" s="402"/>
      <c r="CP14" s="402" t="str">
        <f t="shared" si="70"/>
        <v/>
      </c>
      <c r="CQ14" s="402" t="str">
        <f t="shared" si="71"/>
        <v/>
      </c>
      <c r="CR14" s="402" t="str">
        <f t="shared" si="72"/>
        <v/>
      </c>
      <c r="CS14" s="402" t="str">
        <f t="shared" si="73"/>
        <v/>
      </c>
      <c r="CT14" s="402"/>
      <c r="CU14" s="401"/>
      <c r="CV14" s="419"/>
      <c r="CW14" s="420">
        <f t="shared" si="74"/>
        <v>0</v>
      </c>
      <c r="CX14" s="413">
        <f t="shared" si="75"/>
        <v>0</v>
      </c>
      <c r="CY14" s="413">
        <f t="shared" si="76"/>
        <v>0</v>
      </c>
      <c r="CZ14" s="413">
        <f t="shared" si="77"/>
        <v>0</v>
      </c>
      <c r="DA14" s="413">
        <f t="shared" si="78"/>
        <v>0</v>
      </c>
      <c r="DB14" s="413">
        <f t="shared" si="79"/>
        <v>0</v>
      </c>
      <c r="DC14" s="413">
        <f t="shared" si="80"/>
        <v>1</v>
      </c>
      <c r="DD14" s="805"/>
      <c r="DE14" s="806" t="str">
        <f t="shared" si="81"/>
        <v/>
      </c>
      <c r="DF14" s="807" t="str">
        <f t="shared" si="82"/>
        <v/>
      </c>
      <c r="DG14" s="807" t="str">
        <f t="shared" si="83"/>
        <v/>
      </c>
      <c r="DH14" s="807" t="str">
        <f t="shared" si="84"/>
        <v/>
      </c>
      <c r="DI14" s="807" t="str">
        <f t="shared" si="85"/>
        <v/>
      </c>
      <c r="DJ14" s="807" t="str">
        <f t="shared" si="86"/>
        <v/>
      </c>
      <c r="DK14" s="807">
        <f t="shared" si="87"/>
        <v>1</v>
      </c>
      <c r="DL14" s="805"/>
      <c r="DM14" s="805"/>
      <c r="DN14" s="808" t="str">
        <f t="shared" si="134"/>
        <v>No cost</v>
      </c>
      <c r="DO14" s="805" t="str">
        <f t="shared" si="88"/>
        <v>No</v>
      </c>
      <c r="DP14" s="417"/>
      <c r="DR14" s="414"/>
      <c r="DS14" s="414"/>
      <c r="DT14" s="414"/>
      <c r="DU14" s="414"/>
      <c r="DV14" s="414"/>
      <c r="DW14" s="414"/>
      <c r="DX14" s="414"/>
      <c r="DY14" s="414">
        <f t="shared" si="89"/>
        <v>0</v>
      </c>
      <c r="EA14" s="414"/>
      <c r="EB14" s="414"/>
      <c r="EC14" s="414"/>
      <c r="ED14" s="414"/>
      <c r="EE14" s="414"/>
      <c r="EF14" s="414"/>
      <c r="EG14" s="414"/>
      <c r="EH14" s="414">
        <f t="shared" si="90"/>
        <v>0</v>
      </c>
      <c r="EJ14" s="414"/>
      <c r="EK14" s="414"/>
      <c r="EL14" s="414"/>
      <c r="EM14" s="414"/>
      <c r="EN14" s="414"/>
      <c r="EO14" s="414"/>
      <c r="EP14" s="414"/>
      <c r="EQ14" s="414">
        <f t="shared" si="91"/>
        <v>0</v>
      </c>
      <c r="ER14" s="414"/>
      <c r="ES14" s="414"/>
      <c r="ET14" s="414"/>
      <c r="EU14" s="414"/>
      <c r="EV14" s="414"/>
      <c r="EW14" s="414"/>
      <c r="EX14" s="414"/>
      <c r="EY14" s="414"/>
      <c r="EZ14" s="412">
        <f t="shared" si="92"/>
        <v>0</v>
      </c>
      <c r="FA14" s="414"/>
      <c r="FB14" s="414"/>
      <c r="FC14" s="414"/>
      <c r="FD14" s="414"/>
      <c r="FE14" s="414"/>
      <c r="FF14" s="414"/>
      <c r="FG14" s="414"/>
      <c r="FH14" s="414"/>
      <c r="FI14" s="412">
        <f t="shared" si="93"/>
        <v>0</v>
      </c>
      <c r="FJ14" s="414"/>
      <c r="FK14" s="414"/>
      <c r="FL14" s="414"/>
      <c r="FM14" s="414"/>
      <c r="FN14" s="414"/>
      <c r="FO14" s="414"/>
      <c r="FP14" s="414"/>
      <c r="FQ14" s="414"/>
      <c r="FR14" s="411">
        <f t="shared" si="94"/>
        <v>0</v>
      </c>
      <c r="FS14" s="414"/>
      <c r="FT14" s="414"/>
      <c r="FU14" s="414"/>
      <c r="FV14" s="414"/>
      <c r="FW14" s="414"/>
      <c r="FX14" s="414"/>
      <c r="FY14" s="414"/>
      <c r="FZ14" s="414"/>
      <c r="GA14" s="412">
        <f t="shared" si="95"/>
        <v>0</v>
      </c>
      <c r="GB14" s="414"/>
      <c r="GC14" s="414"/>
      <c r="GD14" s="414"/>
      <c r="GE14" s="414"/>
      <c r="GF14" s="414"/>
      <c r="GG14" s="414"/>
      <c r="GH14" s="414"/>
      <c r="GI14" s="414"/>
      <c r="GJ14" s="412">
        <f t="shared" si="96"/>
        <v>0</v>
      </c>
      <c r="GK14" s="412">
        <f t="shared" si="97"/>
        <v>0</v>
      </c>
      <c r="GL14" s="412">
        <f t="shared" si="98"/>
        <v>0</v>
      </c>
      <c r="GM14" s="412">
        <f t="shared" si="99"/>
        <v>0</v>
      </c>
      <c r="GN14" s="412">
        <f t="shared" si="100"/>
        <v>0</v>
      </c>
      <c r="GO14" s="412">
        <f t="shared" si="101"/>
        <v>0</v>
      </c>
      <c r="GP14" s="412">
        <f t="shared" si="102"/>
        <v>0</v>
      </c>
      <c r="GQ14" s="412">
        <f t="shared" si="103"/>
        <v>0</v>
      </c>
      <c r="GR14" s="412">
        <f t="shared" si="104"/>
        <v>0</v>
      </c>
      <c r="GS14" s="402">
        <f t="shared" si="105"/>
        <v>0</v>
      </c>
      <c r="GT14" s="412">
        <f t="shared" si="106"/>
        <v>0</v>
      </c>
      <c r="GU14" s="412">
        <f t="shared" si="106"/>
        <v>0</v>
      </c>
      <c r="GV14" s="412">
        <f t="shared" si="106"/>
        <v>0</v>
      </c>
      <c r="GW14" s="412">
        <f t="shared" si="106"/>
        <v>0</v>
      </c>
      <c r="GX14" s="412">
        <f t="shared" si="106"/>
        <v>0</v>
      </c>
      <c r="GY14" s="412">
        <f t="shared" si="106"/>
        <v>0</v>
      </c>
      <c r="GZ14" s="412">
        <f t="shared" si="106"/>
        <v>0</v>
      </c>
      <c r="HA14" s="412">
        <f t="shared" si="135"/>
        <v>0</v>
      </c>
      <c r="HB14" s="812">
        <f t="shared" si="136"/>
        <v>0</v>
      </c>
      <c r="HC14" s="414"/>
      <c r="HD14" s="414"/>
      <c r="HE14" s="414"/>
      <c r="HF14" s="414"/>
      <c r="HG14" s="414"/>
      <c r="HH14" s="414"/>
      <c r="HI14" s="414"/>
      <c r="HJ14" s="590"/>
      <c r="HK14" s="412">
        <f t="shared" si="107"/>
        <v>0</v>
      </c>
      <c r="HL14" s="414">
        <f t="shared" si="108"/>
        <v>0</v>
      </c>
      <c r="HM14" s="414">
        <f t="shared" si="109"/>
        <v>0</v>
      </c>
      <c r="HN14" s="414">
        <f t="shared" si="110"/>
        <v>0</v>
      </c>
      <c r="HO14" s="414">
        <f t="shared" si="111"/>
        <v>0</v>
      </c>
      <c r="HP14" s="414">
        <f t="shared" si="112"/>
        <v>0</v>
      </c>
      <c r="HQ14" s="414">
        <f t="shared" si="113"/>
        <v>0</v>
      </c>
      <c r="HR14" s="414">
        <f t="shared" si="114"/>
        <v>0</v>
      </c>
      <c r="HS14" s="414">
        <f t="shared" si="115"/>
        <v>0</v>
      </c>
      <c r="HT14" s="412">
        <f t="shared" si="116"/>
        <v>0</v>
      </c>
      <c r="HU14" s="415">
        <f t="shared" si="117"/>
        <v>0</v>
      </c>
      <c r="HV14" s="402"/>
      <c r="HW14" s="414" t="str">
        <f t="shared" si="118"/>
        <v/>
      </c>
      <c r="HX14" s="414" t="str">
        <f t="shared" si="119"/>
        <v/>
      </c>
      <c r="HY14" s="413" t="str">
        <f t="shared" si="120"/>
        <v/>
      </c>
      <c r="HZ14" s="414" t="str">
        <f>IF(AND(COUNT(#REF!)=1,$HT14&gt;=1000000, $CM14="Yes"),$HT14,"")</f>
        <v/>
      </c>
      <c r="IA14" s="414" t="str">
        <f t="shared" si="121"/>
        <v/>
      </c>
      <c r="IB14" s="414" t="str">
        <f t="shared" si="122"/>
        <v/>
      </c>
      <c r="IC14" s="419" t="str">
        <f t="shared" si="123"/>
        <v/>
      </c>
      <c r="ID14" s="416"/>
      <c r="IE14" s="413">
        <f t="shared" si="124"/>
        <v>0</v>
      </c>
      <c r="IF14" s="414" t="str">
        <f t="shared" si="125"/>
        <v/>
      </c>
      <c r="IG14" s="414">
        <f t="shared" si="126"/>
        <v>0</v>
      </c>
      <c r="IH14" s="414">
        <f t="shared" si="127"/>
        <v>0</v>
      </c>
      <c r="II14" s="414">
        <f t="shared" si="128"/>
        <v>0</v>
      </c>
      <c r="IJ14" s="414">
        <f t="shared" si="129"/>
        <v>0</v>
      </c>
      <c r="IK14" s="414">
        <f t="shared" si="130"/>
        <v>0</v>
      </c>
      <c r="IL14" s="414">
        <f t="shared" si="131"/>
        <v>0</v>
      </c>
      <c r="IM14" s="414">
        <f t="shared" si="132"/>
        <v>1</v>
      </c>
      <c r="IN14" s="413"/>
      <c r="IO14" s="422"/>
      <c r="IP14" s="421"/>
      <c r="IQ14" s="421"/>
      <c r="IR14" s="421"/>
      <c r="IS14" s="740"/>
      <c r="IT14" s="727">
        <f t="shared" si="133"/>
        <v>0</v>
      </c>
      <c r="IU14" s="410" t="e">
        <f>IF(SUM(#REF!)&gt;0,$EQ14,0)</f>
        <v>#REF!</v>
      </c>
      <c r="IV14" s="409" t="e">
        <f>IF(SUM(#REF!)&gt;0,$EZ14,0)</f>
        <v>#REF!</v>
      </c>
    </row>
    <row r="15" spans="1:256" s="237" customFormat="1" ht="37.200000000000003" customHeight="1">
      <c r="A15" s="400">
        <v>221</v>
      </c>
      <c r="B15" s="719">
        <v>5</v>
      </c>
      <c r="C15" s="589"/>
      <c r="D15" s="417">
        <f t="shared" si="0"/>
        <v>0</v>
      </c>
      <c r="E15" s="417">
        <f t="shared" si="1"/>
        <v>0</v>
      </c>
      <c r="F15" s="417">
        <f t="shared" si="2"/>
        <v>0</v>
      </c>
      <c r="G15" s="417">
        <f t="shared" si="3"/>
        <v>0</v>
      </c>
      <c r="H15" s="417">
        <f t="shared" si="4"/>
        <v>0</v>
      </c>
      <c r="I15" s="417">
        <f t="shared" si="5"/>
        <v>0</v>
      </c>
      <c r="J15" s="417">
        <f t="shared" si="6"/>
        <v>0</v>
      </c>
      <c r="K15" s="417">
        <f t="shared" si="7"/>
        <v>0</v>
      </c>
      <c r="L15" s="417">
        <f t="shared" si="8"/>
        <v>0</v>
      </c>
      <c r="M15" s="417">
        <f t="shared" si="9"/>
        <v>0</v>
      </c>
      <c r="N15" s="417">
        <f t="shared" si="10"/>
        <v>0</v>
      </c>
      <c r="O15" s="417">
        <f t="shared" si="11"/>
        <v>0</v>
      </c>
      <c r="P15" s="417">
        <f t="shared" si="12"/>
        <v>0</v>
      </c>
      <c r="Q15" s="417">
        <f t="shared" si="13"/>
        <v>0</v>
      </c>
      <c r="R15" s="417">
        <f t="shared" si="14"/>
        <v>0</v>
      </c>
      <c r="S15" s="417">
        <f t="shared" si="15"/>
        <v>0</v>
      </c>
      <c r="T15" s="417">
        <f t="shared" si="16"/>
        <v>0</v>
      </c>
      <c r="U15" s="417">
        <f t="shared" si="17"/>
        <v>0</v>
      </c>
      <c r="V15" s="417">
        <f t="shared" si="18"/>
        <v>0</v>
      </c>
      <c r="W15" s="417">
        <f t="shared" si="19"/>
        <v>0</v>
      </c>
      <c r="X15" s="417">
        <f t="shared" si="20"/>
        <v>0</v>
      </c>
      <c r="Y15" s="417">
        <f t="shared" si="21"/>
        <v>0</v>
      </c>
      <c r="Z15" s="417">
        <f t="shared" si="22"/>
        <v>0</v>
      </c>
      <c r="AA15" s="417">
        <f t="shared" si="23"/>
        <v>0</v>
      </c>
      <c r="AB15" s="417">
        <f t="shared" si="24"/>
        <v>0</v>
      </c>
      <c r="AC15" s="417">
        <f t="shared" si="25"/>
        <v>0</v>
      </c>
      <c r="AD15" s="417">
        <f t="shared" si="26"/>
        <v>0</v>
      </c>
      <c r="AE15" s="417">
        <f t="shared" si="27"/>
        <v>0</v>
      </c>
      <c r="AF15" s="417">
        <f t="shared" si="28"/>
        <v>0</v>
      </c>
      <c r="AG15" s="417">
        <f t="shared" si="29"/>
        <v>0</v>
      </c>
      <c r="AH15" s="417">
        <f t="shared" si="30"/>
        <v>0</v>
      </c>
      <c r="AI15" s="417">
        <f t="shared" si="31"/>
        <v>0</v>
      </c>
      <c r="AJ15" s="417">
        <f t="shared" si="32"/>
        <v>0</v>
      </c>
      <c r="AK15" s="417">
        <f t="shared" si="33"/>
        <v>0</v>
      </c>
      <c r="AL15" s="417">
        <f t="shared" si="34"/>
        <v>1</v>
      </c>
      <c r="AM15" s="419"/>
      <c r="AN15" s="419"/>
      <c r="AO15" s="419"/>
      <c r="AP15" s="419"/>
      <c r="AQ15" s="419"/>
      <c r="AR15" s="403"/>
      <c r="AS15" s="403"/>
      <c r="AT15" s="403"/>
      <c r="AU15" s="403"/>
      <c r="AV15" s="413">
        <f t="shared" si="35"/>
        <v>0</v>
      </c>
      <c r="AW15" s="413">
        <f t="shared" si="36"/>
        <v>0</v>
      </c>
      <c r="AX15" s="413">
        <f t="shared" si="37"/>
        <v>0</v>
      </c>
      <c r="AY15" s="413">
        <f t="shared" si="38"/>
        <v>0</v>
      </c>
      <c r="AZ15" s="413">
        <f t="shared" si="39"/>
        <v>0</v>
      </c>
      <c r="BA15" s="413">
        <f t="shared" si="40"/>
        <v>1</v>
      </c>
      <c r="BB15" s="419"/>
      <c r="BC15" s="419"/>
      <c r="BD15" s="413">
        <f t="shared" si="41"/>
        <v>0</v>
      </c>
      <c r="BE15" s="413">
        <f t="shared" si="42"/>
        <v>0</v>
      </c>
      <c r="BF15" s="413">
        <f t="shared" si="43"/>
        <v>0</v>
      </c>
      <c r="BG15" s="413">
        <f t="shared" si="44"/>
        <v>1</v>
      </c>
      <c r="BH15" s="417"/>
      <c r="BI15" s="417">
        <f t="shared" si="45"/>
        <v>0</v>
      </c>
      <c r="BJ15" s="417">
        <f t="shared" si="46"/>
        <v>0</v>
      </c>
      <c r="BK15" s="417">
        <f t="shared" si="47"/>
        <v>0</v>
      </c>
      <c r="BL15" s="417">
        <f t="shared" si="48"/>
        <v>0</v>
      </c>
      <c r="BM15" s="417">
        <f t="shared" si="49"/>
        <v>0</v>
      </c>
      <c r="BN15" s="417">
        <f t="shared" si="50"/>
        <v>0</v>
      </c>
      <c r="BO15" s="417">
        <f t="shared" si="51"/>
        <v>0</v>
      </c>
      <c r="BP15" s="417">
        <f t="shared" si="52"/>
        <v>0</v>
      </c>
      <c r="BQ15" s="417">
        <f t="shared" si="53"/>
        <v>0</v>
      </c>
      <c r="BR15" s="417">
        <f t="shared" si="54"/>
        <v>0</v>
      </c>
      <c r="BS15" s="417">
        <f t="shared" si="55"/>
        <v>0</v>
      </c>
      <c r="BT15" s="417">
        <f t="shared" si="56"/>
        <v>0</v>
      </c>
      <c r="BU15" s="417">
        <f t="shared" si="57"/>
        <v>0</v>
      </c>
      <c r="BV15" s="417">
        <f t="shared" si="58"/>
        <v>0</v>
      </c>
      <c r="BW15" s="417">
        <f t="shared" si="59"/>
        <v>0</v>
      </c>
      <c r="BX15" s="417">
        <f t="shared" si="60"/>
        <v>0</v>
      </c>
      <c r="BY15" s="417">
        <f t="shared" si="61"/>
        <v>0</v>
      </c>
      <c r="BZ15" s="417"/>
      <c r="CA15" s="417"/>
      <c r="CB15" s="401"/>
      <c r="CC15" s="414" t="str">
        <f t="shared" si="62"/>
        <v/>
      </c>
      <c r="CD15" s="414" t="str">
        <f t="shared" si="63"/>
        <v/>
      </c>
      <c r="CE15" s="414" t="str">
        <f t="shared" si="64"/>
        <v/>
      </c>
      <c r="CF15" s="414" t="str">
        <f t="shared" si="65"/>
        <v/>
      </c>
      <c r="CG15" s="414" t="str">
        <f t="shared" si="66"/>
        <v/>
      </c>
      <c r="CH15" s="414" t="str">
        <f t="shared" si="67"/>
        <v/>
      </c>
      <c r="CI15" s="403"/>
      <c r="CJ15" s="403"/>
      <c r="CK15" s="417"/>
      <c r="CL15" s="417"/>
      <c r="CM15" s="401" t="str">
        <f t="shared" si="68"/>
        <v>No</v>
      </c>
      <c r="CN15" s="402">
        <f t="shared" si="69"/>
        <v>0</v>
      </c>
      <c r="CO15" s="402"/>
      <c r="CP15" s="402" t="str">
        <f t="shared" si="70"/>
        <v/>
      </c>
      <c r="CQ15" s="402" t="str">
        <f t="shared" si="71"/>
        <v/>
      </c>
      <c r="CR15" s="402" t="str">
        <f t="shared" si="72"/>
        <v/>
      </c>
      <c r="CS15" s="402" t="str">
        <f t="shared" si="73"/>
        <v/>
      </c>
      <c r="CT15" s="402"/>
      <c r="CU15" s="401"/>
      <c r="CV15" s="419"/>
      <c r="CW15" s="420">
        <f t="shared" si="74"/>
        <v>0</v>
      </c>
      <c r="CX15" s="413">
        <f t="shared" si="75"/>
        <v>0</v>
      </c>
      <c r="CY15" s="413">
        <f t="shared" si="76"/>
        <v>0</v>
      </c>
      <c r="CZ15" s="413">
        <f t="shared" si="77"/>
        <v>0</v>
      </c>
      <c r="DA15" s="413">
        <f t="shared" si="78"/>
        <v>0</v>
      </c>
      <c r="DB15" s="413">
        <f t="shared" si="79"/>
        <v>0</v>
      </c>
      <c r="DC15" s="413">
        <f t="shared" si="80"/>
        <v>1</v>
      </c>
      <c r="DD15" s="805"/>
      <c r="DE15" s="806" t="str">
        <f t="shared" si="81"/>
        <v/>
      </c>
      <c r="DF15" s="807" t="str">
        <f t="shared" si="82"/>
        <v/>
      </c>
      <c r="DG15" s="807" t="str">
        <f t="shared" si="83"/>
        <v/>
      </c>
      <c r="DH15" s="807" t="str">
        <f t="shared" si="84"/>
        <v/>
      </c>
      <c r="DI15" s="807" t="str">
        <f t="shared" si="85"/>
        <v/>
      </c>
      <c r="DJ15" s="807" t="str">
        <f t="shared" si="86"/>
        <v/>
      </c>
      <c r="DK15" s="807">
        <f t="shared" si="87"/>
        <v>1</v>
      </c>
      <c r="DL15" s="805"/>
      <c r="DM15" s="805"/>
      <c r="DN15" s="808" t="str">
        <f t="shared" si="134"/>
        <v>No cost</v>
      </c>
      <c r="DO15" s="805" t="str">
        <f t="shared" si="88"/>
        <v>No</v>
      </c>
      <c r="DP15" s="417"/>
      <c r="DR15" s="414"/>
      <c r="DS15" s="414"/>
      <c r="DT15" s="414"/>
      <c r="DU15" s="414"/>
      <c r="DV15" s="414"/>
      <c r="DW15" s="414"/>
      <c r="DX15" s="414"/>
      <c r="DY15" s="414">
        <f t="shared" si="89"/>
        <v>0</v>
      </c>
      <c r="EA15" s="414"/>
      <c r="EB15" s="414"/>
      <c r="EC15" s="414"/>
      <c r="ED15" s="414"/>
      <c r="EE15" s="414"/>
      <c r="EF15" s="414"/>
      <c r="EG15" s="414"/>
      <c r="EH15" s="414">
        <f t="shared" si="90"/>
        <v>0</v>
      </c>
      <c r="EJ15" s="414"/>
      <c r="EK15" s="414"/>
      <c r="EL15" s="414"/>
      <c r="EM15" s="414"/>
      <c r="EN15" s="414"/>
      <c r="EO15" s="414"/>
      <c r="EP15" s="414"/>
      <c r="EQ15" s="414">
        <f t="shared" si="91"/>
        <v>0</v>
      </c>
      <c r="ER15" s="414"/>
      <c r="ES15" s="414"/>
      <c r="ET15" s="414"/>
      <c r="EU15" s="414"/>
      <c r="EV15" s="414"/>
      <c r="EW15" s="414"/>
      <c r="EX15" s="414"/>
      <c r="EY15" s="414"/>
      <c r="EZ15" s="412">
        <f t="shared" si="92"/>
        <v>0</v>
      </c>
      <c r="FA15" s="414"/>
      <c r="FB15" s="414"/>
      <c r="FC15" s="414"/>
      <c r="FD15" s="414"/>
      <c r="FE15" s="414"/>
      <c r="FF15" s="414"/>
      <c r="FG15" s="414"/>
      <c r="FH15" s="414"/>
      <c r="FI15" s="412">
        <f t="shared" si="93"/>
        <v>0</v>
      </c>
      <c r="FJ15" s="414"/>
      <c r="FK15" s="414"/>
      <c r="FL15" s="414"/>
      <c r="FM15" s="414"/>
      <c r="FN15" s="414"/>
      <c r="FO15" s="414"/>
      <c r="FP15" s="414"/>
      <c r="FQ15" s="414"/>
      <c r="FR15" s="411">
        <f t="shared" si="94"/>
        <v>0</v>
      </c>
      <c r="FS15" s="414"/>
      <c r="FT15" s="414"/>
      <c r="FU15" s="414"/>
      <c r="FV15" s="414"/>
      <c r="FW15" s="414"/>
      <c r="FX15" s="414"/>
      <c r="FY15" s="414"/>
      <c r="FZ15" s="414"/>
      <c r="GA15" s="412">
        <f t="shared" si="95"/>
        <v>0</v>
      </c>
      <c r="GB15" s="414"/>
      <c r="GC15" s="414"/>
      <c r="GD15" s="414"/>
      <c r="GE15" s="414"/>
      <c r="GF15" s="414"/>
      <c r="GG15" s="414"/>
      <c r="GH15" s="414"/>
      <c r="GI15" s="414"/>
      <c r="GJ15" s="412">
        <f t="shared" si="96"/>
        <v>0</v>
      </c>
      <c r="GK15" s="412">
        <f t="shared" si="97"/>
        <v>0</v>
      </c>
      <c r="GL15" s="412">
        <f t="shared" si="98"/>
        <v>0</v>
      </c>
      <c r="GM15" s="412">
        <f t="shared" si="99"/>
        <v>0</v>
      </c>
      <c r="GN15" s="412">
        <f t="shared" si="100"/>
        <v>0</v>
      </c>
      <c r="GO15" s="412">
        <f t="shared" si="101"/>
        <v>0</v>
      </c>
      <c r="GP15" s="412">
        <f t="shared" si="102"/>
        <v>0</v>
      </c>
      <c r="GQ15" s="412">
        <f t="shared" si="103"/>
        <v>0</v>
      </c>
      <c r="GR15" s="412">
        <f t="shared" si="104"/>
        <v>0</v>
      </c>
      <c r="GS15" s="402">
        <f t="shared" si="105"/>
        <v>0</v>
      </c>
      <c r="GT15" s="412">
        <f t="shared" si="106"/>
        <v>0</v>
      </c>
      <c r="GU15" s="412">
        <f t="shared" si="106"/>
        <v>0</v>
      </c>
      <c r="GV15" s="412">
        <f t="shared" si="106"/>
        <v>0</v>
      </c>
      <c r="GW15" s="412">
        <f t="shared" si="106"/>
        <v>0</v>
      </c>
      <c r="GX15" s="412">
        <f t="shared" si="106"/>
        <v>0</v>
      </c>
      <c r="GY15" s="412">
        <f t="shared" si="106"/>
        <v>0</v>
      </c>
      <c r="GZ15" s="412">
        <f t="shared" si="106"/>
        <v>0</v>
      </c>
      <c r="HA15" s="412">
        <f t="shared" si="135"/>
        <v>0</v>
      </c>
      <c r="HB15" s="812">
        <f t="shared" si="136"/>
        <v>0</v>
      </c>
      <c r="HC15" s="414"/>
      <c r="HD15" s="414"/>
      <c r="HE15" s="414"/>
      <c r="HF15" s="414"/>
      <c r="HG15" s="414"/>
      <c r="HH15" s="414"/>
      <c r="HI15" s="414"/>
      <c r="HJ15" s="590"/>
      <c r="HK15" s="412">
        <f t="shared" si="107"/>
        <v>0</v>
      </c>
      <c r="HL15" s="414">
        <f t="shared" si="108"/>
        <v>0</v>
      </c>
      <c r="HM15" s="414">
        <f t="shared" si="109"/>
        <v>0</v>
      </c>
      <c r="HN15" s="414">
        <f t="shared" si="110"/>
        <v>0</v>
      </c>
      <c r="HO15" s="414">
        <f t="shared" si="111"/>
        <v>0</v>
      </c>
      <c r="HP15" s="414">
        <f t="shared" si="112"/>
        <v>0</v>
      </c>
      <c r="HQ15" s="414">
        <f t="shared" si="113"/>
        <v>0</v>
      </c>
      <c r="HR15" s="414">
        <f t="shared" si="114"/>
        <v>0</v>
      </c>
      <c r="HS15" s="414">
        <f t="shared" si="115"/>
        <v>0</v>
      </c>
      <c r="HT15" s="412">
        <f t="shared" si="116"/>
        <v>0</v>
      </c>
      <c r="HU15" s="415">
        <f t="shared" si="117"/>
        <v>0</v>
      </c>
      <c r="HV15" s="402"/>
      <c r="HW15" s="414" t="str">
        <f t="shared" si="118"/>
        <v/>
      </c>
      <c r="HX15" s="414" t="str">
        <f t="shared" si="119"/>
        <v/>
      </c>
      <c r="HY15" s="413" t="str">
        <f t="shared" si="120"/>
        <v/>
      </c>
      <c r="HZ15" s="414" t="str">
        <f>IF(AND(COUNT(#REF!)=1,$HT15&gt;=1000000, $CM15="Yes"),$HT15,"")</f>
        <v/>
      </c>
      <c r="IA15" s="414" t="str">
        <f t="shared" si="121"/>
        <v/>
      </c>
      <c r="IB15" s="414" t="str">
        <f t="shared" si="122"/>
        <v/>
      </c>
      <c r="IC15" s="419" t="str">
        <f t="shared" si="123"/>
        <v/>
      </c>
      <c r="ID15" s="416"/>
      <c r="IE15" s="413">
        <f t="shared" si="124"/>
        <v>0</v>
      </c>
      <c r="IF15" s="414" t="str">
        <f t="shared" si="125"/>
        <v/>
      </c>
      <c r="IG15" s="414">
        <f t="shared" si="126"/>
        <v>0</v>
      </c>
      <c r="IH15" s="414">
        <f t="shared" si="127"/>
        <v>0</v>
      </c>
      <c r="II15" s="414">
        <f t="shared" si="128"/>
        <v>0</v>
      </c>
      <c r="IJ15" s="414">
        <f t="shared" si="129"/>
        <v>0</v>
      </c>
      <c r="IK15" s="414">
        <f t="shared" si="130"/>
        <v>0</v>
      </c>
      <c r="IL15" s="414">
        <f t="shared" si="131"/>
        <v>0</v>
      </c>
      <c r="IM15" s="414">
        <f t="shared" si="132"/>
        <v>1</v>
      </c>
      <c r="IN15" s="413"/>
      <c r="IO15" s="422"/>
      <c r="IP15" s="421"/>
      <c r="IQ15" s="421"/>
      <c r="IR15" s="421"/>
      <c r="IS15" s="740"/>
      <c r="IT15" s="727">
        <f t="shared" si="133"/>
        <v>0</v>
      </c>
      <c r="IU15" s="410" t="e">
        <f>IF(SUM(#REF!)&gt;0,$EQ15,0)</f>
        <v>#REF!</v>
      </c>
      <c r="IV15" s="409" t="e">
        <f>IF(SUM(#REF!)&gt;0,$EZ15,0)</f>
        <v>#REF!</v>
      </c>
    </row>
    <row r="16" spans="1:256" s="237" customFormat="1" ht="37.200000000000003" customHeight="1">
      <c r="A16" s="400">
        <v>221</v>
      </c>
      <c r="B16" s="719">
        <v>6</v>
      </c>
      <c r="C16" s="589"/>
      <c r="D16" s="417">
        <f t="shared" si="0"/>
        <v>0</v>
      </c>
      <c r="E16" s="417">
        <f t="shared" si="1"/>
        <v>0</v>
      </c>
      <c r="F16" s="417">
        <f t="shared" si="2"/>
        <v>0</v>
      </c>
      <c r="G16" s="417">
        <f t="shared" si="3"/>
        <v>0</v>
      </c>
      <c r="H16" s="417">
        <f t="shared" si="4"/>
        <v>0</v>
      </c>
      <c r="I16" s="417">
        <f t="shared" si="5"/>
        <v>0</v>
      </c>
      <c r="J16" s="417">
        <f t="shared" si="6"/>
        <v>0</v>
      </c>
      <c r="K16" s="417">
        <f t="shared" si="7"/>
        <v>0</v>
      </c>
      <c r="L16" s="417">
        <f t="shared" si="8"/>
        <v>0</v>
      </c>
      <c r="M16" s="417">
        <f t="shared" si="9"/>
        <v>0</v>
      </c>
      <c r="N16" s="417">
        <f t="shared" si="10"/>
        <v>0</v>
      </c>
      <c r="O16" s="417">
        <f t="shared" si="11"/>
        <v>0</v>
      </c>
      <c r="P16" s="417">
        <f t="shared" si="12"/>
        <v>0</v>
      </c>
      <c r="Q16" s="417">
        <f t="shared" si="13"/>
        <v>0</v>
      </c>
      <c r="R16" s="417">
        <f t="shared" si="14"/>
        <v>0</v>
      </c>
      <c r="S16" s="417">
        <f t="shared" si="15"/>
        <v>0</v>
      </c>
      <c r="T16" s="417">
        <f t="shared" si="16"/>
        <v>0</v>
      </c>
      <c r="U16" s="417">
        <f t="shared" si="17"/>
        <v>0</v>
      </c>
      <c r="V16" s="417">
        <f t="shared" si="18"/>
        <v>0</v>
      </c>
      <c r="W16" s="417">
        <f t="shared" si="19"/>
        <v>0</v>
      </c>
      <c r="X16" s="417">
        <f t="shared" si="20"/>
        <v>0</v>
      </c>
      <c r="Y16" s="417">
        <f t="shared" si="21"/>
        <v>0</v>
      </c>
      <c r="Z16" s="417">
        <f t="shared" si="22"/>
        <v>0</v>
      </c>
      <c r="AA16" s="417">
        <f t="shared" si="23"/>
        <v>0</v>
      </c>
      <c r="AB16" s="417">
        <f t="shared" si="24"/>
        <v>0</v>
      </c>
      <c r="AC16" s="417">
        <f t="shared" si="25"/>
        <v>0</v>
      </c>
      <c r="AD16" s="417">
        <f t="shared" si="26"/>
        <v>0</v>
      </c>
      <c r="AE16" s="417">
        <f t="shared" si="27"/>
        <v>0</v>
      </c>
      <c r="AF16" s="417">
        <f t="shared" si="28"/>
        <v>0</v>
      </c>
      <c r="AG16" s="417">
        <f t="shared" si="29"/>
        <v>0</v>
      </c>
      <c r="AH16" s="417">
        <f t="shared" si="30"/>
        <v>0</v>
      </c>
      <c r="AI16" s="417">
        <f t="shared" si="31"/>
        <v>0</v>
      </c>
      <c r="AJ16" s="417">
        <f t="shared" si="32"/>
        <v>0</v>
      </c>
      <c r="AK16" s="417">
        <f t="shared" si="33"/>
        <v>0</v>
      </c>
      <c r="AL16" s="417">
        <f t="shared" si="34"/>
        <v>1</v>
      </c>
      <c r="AM16" s="419"/>
      <c r="AN16" s="419"/>
      <c r="AO16" s="419"/>
      <c r="AP16" s="419"/>
      <c r="AQ16" s="419"/>
      <c r="AR16" s="403"/>
      <c r="AS16" s="403"/>
      <c r="AT16" s="403"/>
      <c r="AU16" s="403"/>
      <c r="AV16" s="413">
        <f t="shared" si="35"/>
        <v>0</v>
      </c>
      <c r="AW16" s="413">
        <f t="shared" si="36"/>
        <v>0</v>
      </c>
      <c r="AX16" s="413">
        <f t="shared" si="37"/>
        <v>0</v>
      </c>
      <c r="AY16" s="413">
        <f t="shared" si="38"/>
        <v>0</v>
      </c>
      <c r="AZ16" s="413">
        <f t="shared" si="39"/>
        <v>0</v>
      </c>
      <c r="BA16" s="413">
        <f t="shared" si="40"/>
        <v>1</v>
      </c>
      <c r="BB16" s="419"/>
      <c r="BC16" s="419"/>
      <c r="BD16" s="413">
        <f t="shared" si="41"/>
        <v>0</v>
      </c>
      <c r="BE16" s="413">
        <f t="shared" si="42"/>
        <v>0</v>
      </c>
      <c r="BF16" s="413">
        <f t="shared" si="43"/>
        <v>0</v>
      </c>
      <c r="BG16" s="413">
        <f t="shared" si="44"/>
        <v>1</v>
      </c>
      <c r="BH16" s="417"/>
      <c r="BI16" s="417">
        <f t="shared" si="45"/>
        <v>0</v>
      </c>
      <c r="BJ16" s="417">
        <f t="shared" si="46"/>
        <v>0</v>
      </c>
      <c r="BK16" s="417">
        <f t="shared" si="47"/>
        <v>0</v>
      </c>
      <c r="BL16" s="417">
        <f t="shared" si="48"/>
        <v>0</v>
      </c>
      <c r="BM16" s="417">
        <f t="shared" si="49"/>
        <v>0</v>
      </c>
      <c r="BN16" s="417">
        <f t="shared" si="50"/>
        <v>0</v>
      </c>
      <c r="BO16" s="417">
        <f t="shared" si="51"/>
        <v>0</v>
      </c>
      <c r="BP16" s="417">
        <f t="shared" si="52"/>
        <v>0</v>
      </c>
      <c r="BQ16" s="417">
        <f t="shared" si="53"/>
        <v>0</v>
      </c>
      <c r="BR16" s="417">
        <f t="shared" si="54"/>
        <v>0</v>
      </c>
      <c r="BS16" s="417">
        <f t="shared" si="55"/>
        <v>0</v>
      </c>
      <c r="BT16" s="417">
        <f t="shared" si="56"/>
        <v>0</v>
      </c>
      <c r="BU16" s="417">
        <f t="shared" si="57"/>
        <v>0</v>
      </c>
      <c r="BV16" s="417">
        <f t="shared" si="58"/>
        <v>0</v>
      </c>
      <c r="BW16" s="417">
        <f t="shared" si="59"/>
        <v>0</v>
      </c>
      <c r="BX16" s="417">
        <f t="shared" si="60"/>
        <v>0</v>
      </c>
      <c r="BY16" s="417">
        <f t="shared" si="61"/>
        <v>0</v>
      </c>
      <c r="BZ16" s="417"/>
      <c r="CA16" s="417"/>
      <c r="CB16" s="401"/>
      <c r="CC16" s="414" t="str">
        <f t="shared" si="62"/>
        <v/>
      </c>
      <c r="CD16" s="414" t="str">
        <f t="shared" si="63"/>
        <v/>
      </c>
      <c r="CE16" s="414" t="str">
        <f t="shared" si="64"/>
        <v/>
      </c>
      <c r="CF16" s="414" t="str">
        <f t="shared" si="65"/>
        <v/>
      </c>
      <c r="CG16" s="414" t="str">
        <f t="shared" si="66"/>
        <v/>
      </c>
      <c r="CH16" s="414" t="str">
        <f t="shared" si="67"/>
        <v/>
      </c>
      <c r="CI16" s="403"/>
      <c r="CJ16" s="403"/>
      <c r="CK16" s="417"/>
      <c r="CL16" s="417"/>
      <c r="CM16" s="401" t="str">
        <f t="shared" si="68"/>
        <v>No</v>
      </c>
      <c r="CN16" s="402">
        <f t="shared" si="69"/>
        <v>0</v>
      </c>
      <c r="CO16" s="402"/>
      <c r="CP16" s="402" t="str">
        <f t="shared" si="70"/>
        <v/>
      </c>
      <c r="CQ16" s="402" t="str">
        <f t="shared" si="71"/>
        <v/>
      </c>
      <c r="CR16" s="402" t="str">
        <f t="shared" si="72"/>
        <v/>
      </c>
      <c r="CS16" s="402" t="str">
        <f t="shared" si="73"/>
        <v/>
      </c>
      <c r="CT16" s="402"/>
      <c r="CU16" s="401"/>
      <c r="CV16" s="419"/>
      <c r="CW16" s="420">
        <f t="shared" si="74"/>
        <v>0</v>
      </c>
      <c r="CX16" s="413">
        <f t="shared" si="75"/>
        <v>0</v>
      </c>
      <c r="CY16" s="413">
        <f t="shared" si="76"/>
        <v>0</v>
      </c>
      <c r="CZ16" s="413">
        <f t="shared" si="77"/>
        <v>0</v>
      </c>
      <c r="DA16" s="413">
        <f t="shared" si="78"/>
        <v>0</v>
      </c>
      <c r="DB16" s="413">
        <f t="shared" si="79"/>
        <v>0</v>
      </c>
      <c r="DC16" s="413">
        <f t="shared" si="80"/>
        <v>1</v>
      </c>
      <c r="DD16" s="805"/>
      <c r="DE16" s="806" t="str">
        <f t="shared" si="81"/>
        <v/>
      </c>
      <c r="DF16" s="807" t="str">
        <f t="shared" si="82"/>
        <v/>
      </c>
      <c r="DG16" s="807" t="str">
        <f t="shared" si="83"/>
        <v/>
      </c>
      <c r="DH16" s="807" t="str">
        <f t="shared" si="84"/>
        <v/>
      </c>
      <c r="DI16" s="807" t="str">
        <f t="shared" si="85"/>
        <v/>
      </c>
      <c r="DJ16" s="807" t="str">
        <f t="shared" si="86"/>
        <v/>
      </c>
      <c r="DK16" s="807">
        <f t="shared" si="87"/>
        <v>1</v>
      </c>
      <c r="DL16" s="805"/>
      <c r="DM16" s="805"/>
      <c r="DN16" s="808" t="str">
        <f t="shared" si="134"/>
        <v>No cost</v>
      </c>
      <c r="DO16" s="805" t="str">
        <f t="shared" si="88"/>
        <v>No</v>
      </c>
      <c r="DP16" s="417"/>
      <c r="DR16" s="414"/>
      <c r="DS16" s="414"/>
      <c r="DT16" s="414"/>
      <c r="DU16" s="414"/>
      <c r="DV16" s="414"/>
      <c r="DW16" s="414"/>
      <c r="DX16" s="414"/>
      <c r="DY16" s="414">
        <f t="shared" si="89"/>
        <v>0</v>
      </c>
      <c r="EA16" s="414"/>
      <c r="EB16" s="414"/>
      <c r="EC16" s="414"/>
      <c r="ED16" s="414"/>
      <c r="EE16" s="414"/>
      <c r="EF16" s="414"/>
      <c r="EG16" s="414"/>
      <c r="EH16" s="414">
        <f t="shared" si="90"/>
        <v>0</v>
      </c>
      <c r="EJ16" s="414"/>
      <c r="EK16" s="414"/>
      <c r="EL16" s="414"/>
      <c r="EM16" s="414"/>
      <c r="EN16" s="414"/>
      <c r="EO16" s="414"/>
      <c r="EP16" s="414"/>
      <c r="EQ16" s="414">
        <f t="shared" si="91"/>
        <v>0</v>
      </c>
      <c r="ER16" s="414"/>
      <c r="ES16" s="414"/>
      <c r="ET16" s="414"/>
      <c r="EU16" s="414"/>
      <c r="EV16" s="414"/>
      <c r="EW16" s="414"/>
      <c r="EX16" s="414"/>
      <c r="EY16" s="414"/>
      <c r="EZ16" s="412">
        <f t="shared" si="92"/>
        <v>0</v>
      </c>
      <c r="FA16" s="414"/>
      <c r="FB16" s="414"/>
      <c r="FC16" s="414"/>
      <c r="FD16" s="414"/>
      <c r="FE16" s="414"/>
      <c r="FF16" s="414"/>
      <c r="FG16" s="414"/>
      <c r="FH16" s="414"/>
      <c r="FI16" s="412">
        <f t="shared" si="93"/>
        <v>0</v>
      </c>
      <c r="FJ16" s="414"/>
      <c r="FK16" s="414"/>
      <c r="FL16" s="414"/>
      <c r="FM16" s="414"/>
      <c r="FN16" s="414"/>
      <c r="FO16" s="414"/>
      <c r="FP16" s="414"/>
      <c r="FQ16" s="414"/>
      <c r="FR16" s="411">
        <f t="shared" si="94"/>
        <v>0</v>
      </c>
      <c r="FS16" s="414"/>
      <c r="FT16" s="414"/>
      <c r="FU16" s="414"/>
      <c r="FV16" s="414"/>
      <c r="FW16" s="414"/>
      <c r="FX16" s="414"/>
      <c r="FY16" s="414"/>
      <c r="FZ16" s="414"/>
      <c r="GA16" s="412">
        <f t="shared" si="95"/>
        <v>0</v>
      </c>
      <c r="GB16" s="414"/>
      <c r="GC16" s="414"/>
      <c r="GD16" s="414"/>
      <c r="GE16" s="414"/>
      <c r="GF16" s="414"/>
      <c r="GG16" s="414"/>
      <c r="GH16" s="414"/>
      <c r="GI16" s="414"/>
      <c r="GJ16" s="412">
        <f t="shared" si="96"/>
        <v>0</v>
      </c>
      <c r="GK16" s="412">
        <f t="shared" si="97"/>
        <v>0</v>
      </c>
      <c r="GL16" s="412">
        <f t="shared" si="98"/>
        <v>0</v>
      </c>
      <c r="GM16" s="412">
        <f t="shared" si="99"/>
        <v>0</v>
      </c>
      <c r="GN16" s="412">
        <f t="shared" si="100"/>
        <v>0</v>
      </c>
      <c r="GO16" s="412">
        <f t="shared" si="101"/>
        <v>0</v>
      </c>
      <c r="GP16" s="412">
        <f t="shared" si="102"/>
        <v>0</v>
      </c>
      <c r="GQ16" s="412">
        <f t="shared" si="103"/>
        <v>0</v>
      </c>
      <c r="GR16" s="412">
        <f t="shared" si="104"/>
        <v>0</v>
      </c>
      <c r="GS16" s="402">
        <f t="shared" si="105"/>
        <v>0</v>
      </c>
      <c r="GT16" s="412">
        <f t="shared" si="106"/>
        <v>0</v>
      </c>
      <c r="GU16" s="412">
        <f t="shared" si="106"/>
        <v>0</v>
      </c>
      <c r="GV16" s="412">
        <f t="shared" si="106"/>
        <v>0</v>
      </c>
      <c r="GW16" s="412">
        <f t="shared" si="106"/>
        <v>0</v>
      </c>
      <c r="GX16" s="412">
        <f t="shared" si="106"/>
        <v>0</v>
      </c>
      <c r="GY16" s="412">
        <f t="shared" si="106"/>
        <v>0</v>
      </c>
      <c r="GZ16" s="412">
        <f t="shared" si="106"/>
        <v>0</v>
      </c>
      <c r="HA16" s="412">
        <f t="shared" si="135"/>
        <v>0</v>
      </c>
      <c r="HB16" s="812">
        <f t="shared" si="136"/>
        <v>0</v>
      </c>
      <c r="HC16" s="414"/>
      <c r="HD16" s="414"/>
      <c r="HE16" s="414"/>
      <c r="HF16" s="414"/>
      <c r="HG16" s="414"/>
      <c r="HH16" s="414"/>
      <c r="HI16" s="414"/>
      <c r="HJ16" s="590"/>
      <c r="HK16" s="412">
        <f t="shared" si="107"/>
        <v>0</v>
      </c>
      <c r="HL16" s="414">
        <f t="shared" si="108"/>
        <v>0</v>
      </c>
      <c r="HM16" s="414">
        <f t="shared" si="109"/>
        <v>0</v>
      </c>
      <c r="HN16" s="414">
        <f t="shared" si="110"/>
        <v>0</v>
      </c>
      <c r="HO16" s="414">
        <f t="shared" si="111"/>
        <v>0</v>
      </c>
      <c r="HP16" s="414">
        <f t="shared" si="112"/>
        <v>0</v>
      </c>
      <c r="HQ16" s="414">
        <f t="shared" si="113"/>
        <v>0</v>
      </c>
      <c r="HR16" s="414">
        <f t="shared" si="114"/>
        <v>0</v>
      </c>
      <c r="HS16" s="414">
        <f t="shared" si="115"/>
        <v>0</v>
      </c>
      <c r="HT16" s="412">
        <f t="shared" si="116"/>
        <v>0</v>
      </c>
      <c r="HU16" s="415">
        <f t="shared" si="117"/>
        <v>0</v>
      </c>
      <c r="HV16" s="402"/>
      <c r="HW16" s="414" t="str">
        <f t="shared" si="118"/>
        <v/>
      </c>
      <c r="HX16" s="414" t="str">
        <f t="shared" si="119"/>
        <v/>
      </c>
      <c r="HY16" s="413" t="str">
        <f t="shared" si="120"/>
        <v/>
      </c>
      <c r="HZ16" s="414" t="str">
        <f>IF(AND(COUNT(#REF!)=1,$HT16&gt;=1000000, $CM16="Yes"),$HT16,"")</f>
        <v/>
      </c>
      <c r="IA16" s="414" t="str">
        <f t="shared" si="121"/>
        <v/>
      </c>
      <c r="IB16" s="414" t="str">
        <f t="shared" si="122"/>
        <v/>
      </c>
      <c r="IC16" s="419" t="str">
        <f t="shared" si="123"/>
        <v/>
      </c>
      <c r="ID16" s="416"/>
      <c r="IE16" s="413">
        <f t="shared" si="124"/>
        <v>0</v>
      </c>
      <c r="IF16" s="414" t="str">
        <f t="shared" si="125"/>
        <v/>
      </c>
      <c r="IG16" s="414">
        <f t="shared" si="126"/>
        <v>0</v>
      </c>
      <c r="IH16" s="414">
        <f t="shared" si="127"/>
        <v>0</v>
      </c>
      <c r="II16" s="414">
        <f t="shared" si="128"/>
        <v>0</v>
      </c>
      <c r="IJ16" s="414">
        <f t="shared" si="129"/>
        <v>0</v>
      </c>
      <c r="IK16" s="414">
        <f t="shared" si="130"/>
        <v>0</v>
      </c>
      <c r="IL16" s="414">
        <f t="shared" si="131"/>
        <v>0</v>
      </c>
      <c r="IM16" s="414">
        <f t="shared" si="132"/>
        <v>1</v>
      </c>
      <c r="IN16" s="413"/>
      <c r="IO16" s="422"/>
      <c r="IP16" s="421"/>
      <c r="IQ16" s="421"/>
      <c r="IR16" s="421"/>
      <c r="IS16" s="740"/>
      <c r="IT16" s="727">
        <f t="shared" si="133"/>
        <v>0</v>
      </c>
      <c r="IU16" s="410" t="e">
        <f>IF(SUM(#REF!)&gt;0,$EQ16,0)</f>
        <v>#REF!</v>
      </c>
      <c r="IV16" s="409" t="e">
        <f>IF(SUM(#REF!)&gt;0,$EZ16,0)</f>
        <v>#REF!</v>
      </c>
    </row>
    <row r="17" spans="1:256" s="237" customFormat="1" ht="37.200000000000003" customHeight="1">
      <c r="A17" s="400">
        <v>221</v>
      </c>
      <c r="B17" s="719">
        <v>7</v>
      </c>
      <c r="C17" s="589"/>
      <c r="D17" s="417">
        <f t="shared" si="0"/>
        <v>0</v>
      </c>
      <c r="E17" s="417">
        <f t="shared" si="1"/>
        <v>0</v>
      </c>
      <c r="F17" s="417">
        <f t="shared" si="2"/>
        <v>0</v>
      </c>
      <c r="G17" s="417">
        <f t="shared" si="3"/>
        <v>0</v>
      </c>
      <c r="H17" s="417">
        <f t="shared" si="4"/>
        <v>0</v>
      </c>
      <c r="I17" s="417">
        <f t="shared" si="5"/>
        <v>0</v>
      </c>
      <c r="J17" s="417">
        <f t="shared" si="6"/>
        <v>0</v>
      </c>
      <c r="K17" s="417">
        <f t="shared" si="7"/>
        <v>0</v>
      </c>
      <c r="L17" s="417">
        <f t="shared" si="8"/>
        <v>0</v>
      </c>
      <c r="M17" s="417">
        <f t="shared" si="9"/>
        <v>0</v>
      </c>
      <c r="N17" s="417">
        <f t="shared" si="10"/>
        <v>0</v>
      </c>
      <c r="O17" s="417">
        <f t="shared" si="11"/>
        <v>0</v>
      </c>
      <c r="P17" s="417">
        <f t="shared" si="12"/>
        <v>0</v>
      </c>
      <c r="Q17" s="417">
        <f t="shared" si="13"/>
        <v>0</v>
      </c>
      <c r="R17" s="417">
        <f t="shared" si="14"/>
        <v>0</v>
      </c>
      <c r="S17" s="417">
        <f t="shared" si="15"/>
        <v>0</v>
      </c>
      <c r="T17" s="417">
        <f t="shared" si="16"/>
        <v>0</v>
      </c>
      <c r="U17" s="417">
        <f t="shared" si="17"/>
        <v>0</v>
      </c>
      <c r="V17" s="417">
        <f t="shared" si="18"/>
        <v>0</v>
      </c>
      <c r="W17" s="417">
        <f t="shared" si="19"/>
        <v>0</v>
      </c>
      <c r="X17" s="417">
        <f t="shared" si="20"/>
        <v>0</v>
      </c>
      <c r="Y17" s="417">
        <f t="shared" si="21"/>
        <v>0</v>
      </c>
      <c r="Z17" s="417">
        <f t="shared" si="22"/>
        <v>0</v>
      </c>
      <c r="AA17" s="417">
        <f t="shared" si="23"/>
        <v>0</v>
      </c>
      <c r="AB17" s="417">
        <f t="shared" si="24"/>
        <v>0</v>
      </c>
      <c r="AC17" s="417">
        <f t="shared" si="25"/>
        <v>0</v>
      </c>
      <c r="AD17" s="417">
        <f t="shared" si="26"/>
        <v>0</v>
      </c>
      <c r="AE17" s="417">
        <f t="shared" si="27"/>
        <v>0</v>
      </c>
      <c r="AF17" s="417">
        <f t="shared" si="28"/>
        <v>0</v>
      </c>
      <c r="AG17" s="417">
        <f t="shared" si="29"/>
        <v>0</v>
      </c>
      <c r="AH17" s="417">
        <f t="shared" si="30"/>
        <v>0</v>
      </c>
      <c r="AI17" s="417">
        <f t="shared" si="31"/>
        <v>0</v>
      </c>
      <c r="AJ17" s="417">
        <f t="shared" si="32"/>
        <v>0</v>
      </c>
      <c r="AK17" s="417">
        <f t="shared" si="33"/>
        <v>0</v>
      </c>
      <c r="AL17" s="417">
        <f t="shared" si="34"/>
        <v>1</v>
      </c>
      <c r="AM17" s="419"/>
      <c r="AN17" s="419"/>
      <c r="AO17" s="419"/>
      <c r="AP17" s="419"/>
      <c r="AQ17" s="419"/>
      <c r="AR17" s="403"/>
      <c r="AS17" s="403"/>
      <c r="AT17" s="403"/>
      <c r="AU17" s="403"/>
      <c r="AV17" s="413">
        <f t="shared" si="35"/>
        <v>0</v>
      </c>
      <c r="AW17" s="413">
        <f t="shared" si="36"/>
        <v>0</v>
      </c>
      <c r="AX17" s="413">
        <f t="shared" si="37"/>
        <v>0</v>
      </c>
      <c r="AY17" s="413">
        <f t="shared" si="38"/>
        <v>0</v>
      </c>
      <c r="AZ17" s="413">
        <f t="shared" si="39"/>
        <v>0</v>
      </c>
      <c r="BA17" s="413">
        <f t="shared" si="40"/>
        <v>1</v>
      </c>
      <c r="BB17" s="419"/>
      <c r="BC17" s="419"/>
      <c r="BD17" s="413">
        <f t="shared" si="41"/>
        <v>0</v>
      </c>
      <c r="BE17" s="413">
        <f t="shared" si="42"/>
        <v>0</v>
      </c>
      <c r="BF17" s="413">
        <f t="shared" si="43"/>
        <v>0</v>
      </c>
      <c r="BG17" s="413">
        <f t="shared" si="44"/>
        <v>1</v>
      </c>
      <c r="BH17" s="417"/>
      <c r="BI17" s="417">
        <f t="shared" si="45"/>
        <v>0</v>
      </c>
      <c r="BJ17" s="417">
        <f t="shared" si="46"/>
        <v>0</v>
      </c>
      <c r="BK17" s="417">
        <f t="shared" si="47"/>
        <v>0</v>
      </c>
      <c r="BL17" s="417">
        <f t="shared" si="48"/>
        <v>0</v>
      </c>
      <c r="BM17" s="417">
        <f t="shared" si="49"/>
        <v>0</v>
      </c>
      <c r="BN17" s="417">
        <f t="shared" si="50"/>
        <v>0</v>
      </c>
      <c r="BO17" s="417">
        <f t="shared" si="51"/>
        <v>0</v>
      </c>
      <c r="BP17" s="417">
        <f t="shared" si="52"/>
        <v>0</v>
      </c>
      <c r="BQ17" s="417">
        <f t="shared" si="53"/>
        <v>0</v>
      </c>
      <c r="BR17" s="417">
        <f t="shared" si="54"/>
        <v>0</v>
      </c>
      <c r="BS17" s="417">
        <f t="shared" si="55"/>
        <v>0</v>
      </c>
      <c r="BT17" s="417">
        <f t="shared" si="56"/>
        <v>0</v>
      </c>
      <c r="BU17" s="417">
        <f t="shared" si="57"/>
        <v>0</v>
      </c>
      <c r="BV17" s="417">
        <f t="shared" si="58"/>
        <v>0</v>
      </c>
      <c r="BW17" s="417">
        <f t="shared" si="59"/>
        <v>0</v>
      </c>
      <c r="BX17" s="417">
        <f t="shared" si="60"/>
        <v>0</v>
      </c>
      <c r="BY17" s="417">
        <f t="shared" si="61"/>
        <v>0</v>
      </c>
      <c r="BZ17" s="417"/>
      <c r="CA17" s="417"/>
      <c r="CB17" s="401"/>
      <c r="CC17" s="414" t="str">
        <f t="shared" si="62"/>
        <v/>
      </c>
      <c r="CD17" s="414" t="str">
        <f t="shared" si="63"/>
        <v/>
      </c>
      <c r="CE17" s="414" t="str">
        <f t="shared" si="64"/>
        <v/>
      </c>
      <c r="CF17" s="414" t="str">
        <f t="shared" si="65"/>
        <v/>
      </c>
      <c r="CG17" s="414" t="str">
        <f t="shared" si="66"/>
        <v/>
      </c>
      <c r="CH17" s="414" t="str">
        <f t="shared" si="67"/>
        <v/>
      </c>
      <c r="CI17" s="403"/>
      <c r="CJ17" s="403"/>
      <c r="CK17" s="417"/>
      <c r="CL17" s="417"/>
      <c r="CM17" s="401" t="str">
        <f t="shared" si="68"/>
        <v>No</v>
      </c>
      <c r="CN17" s="402">
        <f t="shared" si="69"/>
        <v>0</v>
      </c>
      <c r="CO17" s="402"/>
      <c r="CP17" s="402" t="str">
        <f t="shared" si="70"/>
        <v/>
      </c>
      <c r="CQ17" s="402" t="str">
        <f t="shared" si="71"/>
        <v/>
      </c>
      <c r="CR17" s="402" t="str">
        <f t="shared" si="72"/>
        <v/>
      </c>
      <c r="CS17" s="402" t="str">
        <f t="shared" si="73"/>
        <v/>
      </c>
      <c r="CT17" s="402"/>
      <c r="CU17" s="401"/>
      <c r="CV17" s="419"/>
      <c r="CW17" s="420">
        <f t="shared" si="74"/>
        <v>0</v>
      </c>
      <c r="CX17" s="413">
        <f t="shared" si="75"/>
        <v>0</v>
      </c>
      <c r="CY17" s="413">
        <f t="shared" si="76"/>
        <v>0</v>
      </c>
      <c r="CZ17" s="413">
        <f t="shared" si="77"/>
        <v>0</v>
      </c>
      <c r="DA17" s="413">
        <f t="shared" si="78"/>
        <v>0</v>
      </c>
      <c r="DB17" s="413">
        <f t="shared" si="79"/>
        <v>0</v>
      </c>
      <c r="DC17" s="413">
        <f t="shared" si="80"/>
        <v>1</v>
      </c>
      <c r="DD17" s="805"/>
      <c r="DE17" s="806" t="str">
        <f t="shared" si="81"/>
        <v/>
      </c>
      <c r="DF17" s="807" t="str">
        <f t="shared" si="82"/>
        <v/>
      </c>
      <c r="DG17" s="807" t="str">
        <f t="shared" si="83"/>
        <v/>
      </c>
      <c r="DH17" s="807" t="str">
        <f t="shared" si="84"/>
        <v/>
      </c>
      <c r="DI17" s="807" t="str">
        <f t="shared" si="85"/>
        <v/>
      </c>
      <c r="DJ17" s="807" t="str">
        <f t="shared" si="86"/>
        <v/>
      </c>
      <c r="DK17" s="807">
        <f t="shared" si="87"/>
        <v>1</v>
      </c>
      <c r="DL17" s="805"/>
      <c r="DM17" s="805"/>
      <c r="DN17" s="808" t="str">
        <f t="shared" si="134"/>
        <v>No cost</v>
      </c>
      <c r="DO17" s="805" t="str">
        <f t="shared" si="88"/>
        <v>No</v>
      </c>
      <c r="DP17" s="417"/>
      <c r="DR17" s="414"/>
      <c r="DS17" s="414"/>
      <c r="DT17" s="414"/>
      <c r="DU17" s="414"/>
      <c r="DV17" s="414"/>
      <c r="DW17" s="414"/>
      <c r="DX17" s="414"/>
      <c r="DY17" s="414">
        <f t="shared" si="89"/>
        <v>0</v>
      </c>
      <c r="EA17" s="414"/>
      <c r="EB17" s="414"/>
      <c r="EC17" s="414"/>
      <c r="ED17" s="414"/>
      <c r="EE17" s="414"/>
      <c r="EF17" s="414"/>
      <c r="EG17" s="414"/>
      <c r="EH17" s="414">
        <f t="shared" si="90"/>
        <v>0</v>
      </c>
      <c r="EJ17" s="414"/>
      <c r="EK17" s="414"/>
      <c r="EL17" s="414"/>
      <c r="EM17" s="414"/>
      <c r="EN17" s="414"/>
      <c r="EO17" s="414"/>
      <c r="EP17" s="414"/>
      <c r="EQ17" s="414">
        <f t="shared" si="91"/>
        <v>0</v>
      </c>
      <c r="ER17" s="414"/>
      <c r="ES17" s="414"/>
      <c r="ET17" s="414"/>
      <c r="EU17" s="414"/>
      <c r="EV17" s="414"/>
      <c r="EW17" s="414"/>
      <c r="EX17" s="414"/>
      <c r="EY17" s="414"/>
      <c r="EZ17" s="412">
        <f t="shared" si="92"/>
        <v>0</v>
      </c>
      <c r="FA17" s="414"/>
      <c r="FB17" s="414"/>
      <c r="FC17" s="414"/>
      <c r="FD17" s="414"/>
      <c r="FE17" s="414"/>
      <c r="FF17" s="414"/>
      <c r="FG17" s="414"/>
      <c r="FH17" s="414"/>
      <c r="FI17" s="412">
        <f t="shared" si="93"/>
        <v>0</v>
      </c>
      <c r="FJ17" s="414"/>
      <c r="FK17" s="414"/>
      <c r="FL17" s="414"/>
      <c r="FM17" s="414"/>
      <c r="FN17" s="414"/>
      <c r="FO17" s="414"/>
      <c r="FP17" s="414"/>
      <c r="FQ17" s="414"/>
      <c r="FR17" s="411">
        <f t="shared" si="94"/>
        <v>0</v>
      </c>
      <c r="FS17" s="414"/>
      <c r="FT17" s="414"/>
      <c r="FU17" s="414"/>
      <c r="FV17" s="414"/>
      <c r="FW17" s="414"/>
      <c r="FX17" s="414"/>
      <c r="FY17" s="414"/>
      <c r="FZ17" s="414"/>
      <c r="GA17" s="412">
        <f t="shared" si="95"/>
        <v>0</v>
      </c>
      <c r="GB17" s="414"/>
      <c r="GC17" s="414"/>
      <c r="GD17" s="414"/>
      <c r="GE17" s="414"/>
      <c r="GF17" s="414"/>
      <c r="GG17" s="414"/>
      <c r="GH17" s="414"/>
      <c r="GI17" s="414"/>
      <c r="GJ17" s="412">
        <f t="shared" si="96"/>
        <v>0</v>
      </c>
      <c r="GK17" s="412">
        <f t="shared" si="97"/>
        <v>0</v>
      </c>
      <c r="GL17" s="412">
        <f t="shared" si="98"/>
        <v>0</v>
      </c>
      <c r="GM17" s="412">
        <f t="shared" si="99"/>
        <v>0</v>
      </c>
      <c r="GN17" s="412">
        <f t="shared" si="100"/>
        <v>0</v>
      </c>
      <c r="GO17" s="412">
        <f t="shared" si="101"/>
        <v>0</v>
      </c>
      <c r="GP17" s="412">
        <f t="shared" si="102"/>
        <v>0</v>
      </c>
      <c r="GQ17" s="412">
        <f t="shared" si="103"/>
        <v>0</v>
      </c>
      <c r="GR17" s="412">
        <f t="shared" si="104"/>
        <v>0</v>
      </c>
      <c r="GS17" s="402">
        <f t="shared" si="105"/>
        <v>0</v>
      </c>
      <c r="GT17" s="412">
        <f t="shared" si="106"/>
        <v>0</v>
      </c>
      <c r="GU17" s="412">
        <f t="shared" si="106"/>
        <v>0</v>
      </c>
      <c r="GV17" s="412">
        <f t="shared" si="106"/>
        <v>0</v>
      </c>
      <c r="GW17" s="412">
        <f t="shared" si="106"/>
        <v>0</v>
      </c>
      <c r="GX17" s="412">
        <f t="shared" si="106"/>
        <v>0</v>
      </c>
      <c r="GY17" s="412">
        <f t="shared" si="106"/>
        <v>0</v>
      </c>
      <c r="GZ17" s="412">
        <f t="shared" si="106"/>
        <v>0</v>
      </c>
      <c r="HA17" s="412">
        <f t="shared" si="135"/>
        <v>0</v>
      </c>
      <c r="HB17" s="812">
        <f t="shared" si="136"/>
        <v>0</v>
      </c>
      <c r="HC17" s="414"/>
      <c r="HD17" s="414"/>
      <c r="HE17" s="414"/>
      <c r="HF17" s="414"/>
      <c r="HG17" s="414"/>
      <c r="HH17" s="414"/>
      <c r="HI17" s="414"/>
      <c r="HJ17" s="590"/>
      <c r="HK17" s="412">
        <f t="shared" si="107"/>
        <v>0</v>
      </c>
      <c r="HL17" s="414">
        <f t="shared" si="108"/>
        <v>0</v>
      </c>
      <c r="HM17" s="414">
        <f t="shared" si="109"/>
        <v>0</v>
      </c>
      <c r="HN17" s="414">
        <f t="shared" si="110"/>
        <v>0</v>
      </c>
      <c r="HO17" s="414">
        <f t="shared" si="111"/>
        <v>0</v>
      </c>
      <c r="HP17" s="414">
        <f t="shared" si="112"/>
        <v>0</v>
      </c>
      <c r="HQ17" s="414">
        <f t="shared" si="113"/>
        <v>0</v>
      </c>
      <c r="HR17" s="414">
        <f t="shared" si="114"/>
        <v>0</v>
      </c>
      <c r="HS17" s="414">
        <f t="shared" si="115"/>
        <v>0</v>
      </c>
      <c r="HT17" s="412">
        <f t="shared" si="116"/>
        <v>0</v>
      </c>
      <c r="HU17" s="415">
        <f t="shared" si="117"/>
        <v>0</v>
      </c>
      <c r="HV17" s="402"/>
      <c r="HW17" s="414" t="str">
        <f t="shared" si="118"/>
        <v/>
      </c>
      <c r="HX17" s="414" t="str">
        <f t="shared" si="119"/>
        <v/>
      </c>
      <c r="HY17" s="413" t="str">
        <f t="shared" si="120"/>
        <v/>
      </c>
      <c r="HZ17" s="414" t="str">
        <f>IF(AND(COUNT(#REF!)=1,$HT17&gt;=1000000, $CM17="Yes"),$HT17,"")</f>
        <v/>
      </c>
      <c r="IA17" s="414" t="str">
        <f t="shared" si="121"/>
        <v/>
      </c>
      <c r="IB17" s="414" t="str">
        <f t="shared" si="122"/>
        <v/>
      </c>
      <c r="IC17" s="419" t="str">
        <f t="shared" si="123"/>
        <v/>
      </c>
      <c r="ID17" s="416"/>
      <c r="IE17" s="413">
        <f t="shared" si="124"/>
        <v>0</v>
      </c>
      <c r="IF17" s="414" t="str">
        <f t="shared" si="125"/>
        <v/>
      </c>
      <c r="IG17" s="414">
        <f t="shared" si="126"/>
        <v>0</v>
      </c>
      <c r="IH17" s="414">
        <f t="shared" si="127"/>
        <v>0</v>
      </c>
      <c r="II17" s="414">
        <f t="shared" si="128"/>
        <v>0</v>
      </c>
      <c r="IJ17" s="414">
        <f t="shared" si="129"/>
        <v>0</v>
      </c>
      <c r="IK17" s="414">
        <f t="shared" si="130"/>
        <v>0</v>
      </c>
      <c r="IL17" s="414">
        <f t="shared" si="131"/>
        <v>0</v>
      </c>
      <c r="IM17" s="414">
        <f t="shared" si="132"/>
        <v>1</v>
      </c>
      <c r="IN17" s="413"/>
      <c r="IO17" s="422"/>
      <c r="IP17" s="421"/>
      <c r="IQ17" s="421"/>
      <c r="IR17" s="421"/>
      <c r="IS17" s="740"/>
      <c r="IT17" s="727">
        <f t="shared" si="133"/>
        <v>0</v>
      </c>
      <c r="IU17" s="410" t="e">
        <f>IF(SUM(#REF!)&gt;0,$EQ17,0)</f>
        <v>#REF!</v>
      </c>
      <c r="IV17" s="409" t="e">
        <f>IF(SUM(#REF!)&gt;0,$EZ17,0)</f>
        <v>#REF!</v>
      </c>
    </row>
    <row r="18" spans="1:256" s="237" customFormat="1" ht="37.200000000000003" customHeight="1">
      <c r="A18" s="400">
        <v>221</v>
      </c>
      <c r="B18" s="719">
        <v>8</v>
      </c>
      <c r="C18" s="589"/>
      <c r="D18" s="417">
        <f t="shared" si="0"/>
        <v>0</v>
      </c>
      <c r="E18" s="417">
        <f t="shared" si="1"/>
        <v>0</v>
      </c>
      <c r="F18" s="417">
        <f t="shared" si="2"/>
        <v>0</v>
      </c>
      <c r="G18" s="417">
        <f t="shared" si="3"/>
        <v>0</v>
      </c>
      <c r="H18" s="417">
        <f t="shared" si="4"/>
        <v>0</v>
      </c>
      <c r="I18" s="417">
        <f t="shared" si="5"/>
        <v>0</v>
      </c>
      <c r="J18" s="417">
        <f t="shared" si="6"/>
        <v>0</v>
      </c>
      <c r="K18" s="417">
        <f t="shared" si="7"/>
        <v>0</v>
      </c>
      <c r="L18" s="417">
        <f t="shared" si="8"/>
        <v>0</v>
      </c>
      <c r="M18" s="417">
        <f t="shared" si="9"/>
        <v>0</v>
      </c>
      <c r="N18" s="417">
        <f t="shared" si="10"/>
        <v>0</v>
      </c>
      <c r="O18" s="417">
        <f t="shared" si="11"/>
        <v>0</v>
      </c>
      <c r="P18" s="417">
        <f t="shared" si="12"/>
        <v>0</v>
      </c>
      <c r="Q18" s="417">
        <f t="shared" si="13"/>
        <v>0</v>
      </c>
      <c r="R18" s="417">
        <f t="shared" si="14"/>
        <v>0</v>
      </c>
      <c r="S18" s="417">
        <f t="shared" si="15"/>
        <v>0</v>
      </c>
      <c r="T18" s="417">
        <f t="shared" si="16"/>
        <v>0</v>
      </c>
      <c r="U18" s="417">
        <f t="shared" si="17"/>
        <v>0</v>
      </c>
      <c r="V18" s="417">
        <f t="shared" si="18"/>
        <v>0</v>
      </c>
      <c r="W18" s="417">
        <f t="shared" si="19"/>
        <v>0</v>
      </c>
      <c r="X18" s="417">
        <f t="shared" si="20"/>
        <v>0</v>
      </c>
      <c r="Y18" s="417">
        <f t="shared" si="21"/>
        <v>0</v>
      </c>
      <c r="Z18" s="417">
        <f t="shared" si="22"/>
        <v>0</v>
      </c>
      <c r="AA18" s="417">
        <f t="shared" si="23"/>
        <v>0</v>
      </c>
      <c r="AB18" s="417">
        <f t="shared" si="24"/>
        <v>0</v>
      </c>
      <c r="AC18" s="417">
        <f t="shared" si="25"/>
        <v>0</v>
      </c>
      <c r="AD18" s="417">
        <f t="shared" si="26"/>
        <v>0</v>
      </c>
      <c r="AE18" s="417">
        <f t="shared" si="27"/>
        <v>0</v>
      </c>
      <c r="AF18" s="417">
        <f t="shared" si="28"/>
        <v>0</v>
      </c>
      <c r="AG18" s="417">
        <f t="shared" si="29"/>
        <v>0</v>
      </c>
      <c r="AH18" s="417">
        <f t="shared" si="30"/>
        <v>0</v>
      </c>
      <c r="AI18" s="417">
        <f t="shared" si="31"/>
        <v>0</v>
      </c>
      <c r="AJ18" s="417">
        <f t="shared" si="32"/>
        <v>0</v>
      </c>
      <c r="AK18" s="417">
        <f t="shared" si="33"/>
        <v>0</v>
      </c>
      <c r="AL18" s="417">
        <f t="shared" si="34"/>
        <v>1</v>
      </c>
      <c r="AM18" s="419"/>
      <c r="AN18" s="419"/>
      <c r="AO18" s="419"/>
      <c r="AP18" s="419"/>
      <c r="AQ18" s="419"/>
      <c r="AR18" s="403"/>
      <c r="AS18" s="403"/>
      <c r="AT18" s="403"/>
      <c r="AU18" s="403"/>
      <c r="AV18" s="413">
        <f t="shared" si="35"/>
        <v>0</v>
      </c>
      <c r="AW18" s="413">
        <f t="shared" si="36"/>
        <v>0</v>
      </c>
      <c r="AX18" s="413">
        <f t="shared" si="37"/>
        <v>0</v>
      </c>
      <c r="AY18" s="413">
        <f t="shared" si="38"/>
        <v>0</v>
      </c>
      <c r="AZ18" s="413">
        <f t="shared" si="39"/>
        <v>0</v>
      </c>
      <c r="BA18" s="413">
        <f t="shared" si="40"/>
        <v>1</v>
      </c>
      <c r="BB18" s="419"/>
      <c r="BC18" s="419"/>
      <c r="BD18" s="413">
        <f t="shared" si="41"/>
        <v>0</v>
      </c>
      <c r="BE18" s="413">
        <f t="shared" si="42"/>
        <v>0</v>
      </c>
      <c r="BF18" s="413">
        <f t="shared" si="43"/>
        <v>0</v>
      </c>
      <c r="BG18" s="413">
        <f t="shared" si="44"/>
        <v>1</v>
      </c>
      <c r="BH18" s="417"/>
      <c r="BI18" s="417">
        <f t="shared" si="45"/>
        <v>0</v>
      </c>
      <c r="BJ18" s="417">
        <f t="shared" si="46"/>
        <v>0</v>
      </c>
      <c r="BK18" s="417">
        <f t="shared" si="47"/>
        <v>0</v>
      </c>
      <c r="BL18" s="417">
        <f t="shared" si="48"/>
        <v>0</v>
      </c>
      <c r="BM18" s="417">
        <f t="shared" si="49"/>
        <v>0</v>
      </c>
      <c r="BN18" s="417">
        <f t="shared" si="50"/>
        <v>0</v>
      </c>
      <c r="BO18" s="417">
        <f t="shared" si="51"/>
        <v>0</v>
      </c>
      <c r="BP18" s="417">
        <f t="shared" si="52"/>
        <v>0</v>
      </c>
      <c r="BQ18" s="417">
        <f t="shared" si="53"/>
        <v>0</v>
      </c>
      <c r="BR18" s="417">
        <f t="shared" si="54"/>
        <v>0</v>
      </c>
      <c r="BS18" s="417">
        <f t="shared" si="55"/>
        <v>0</v>
      </c>
      <c r="BT18" s="417">
        <f t="shared" si="56"/>
        <v>0</v>
      </c>
      <c r="BU18" s="417">
        <f t="shared" si="57"/>
        <v>0</v>
      </c>
      <c r="BV18" s="417">
        <f t="shared" si="58"/>
        <v>0</v>
      </c>
      <c r="BW18" s="417">
        <f t="shared" si="59"/>
        <v>0</v>
      </c>
      <c r="BX18" s="417">
        <f t="shared" si="60"/>
        <v>0</v>
      </c>
      <c r="BY18" s="417">
        <f t="shared" si="61"/>
        <v>0</v>
      </c>
      <c r="BZ18" s="417"/>
      <c r="CA18" s="417"/>
      <c r="CB18" s="401"/>
      <c r="CC18" s="414" t="str">
        <f t="shared" si="62"/>
        <v/>
      </c>
      <c r="CD18" s="414" t="str">
        <f t="shared" si="63"/>
        <v/>
      </c>
      <c r="CE18" s="414" t="str">
        <f t="shared" si="64"/>
        <v/>
      </c>
      <c r="CF18" s="414" t="str">
        <f t="shared" si="65"/>
        <v/>
      </c>
      <c r="CG18" s="414" t="str">
        <f t="shared" si="66"/>
        <v/>
      </c>
      <c r="CH18" s="414" t="str">
        <f t="shared" si="67"/>
        <v/>
      </c>
      <c r="CI18" s="403"/>
      <c r="CJ18" s="403"/>
      <c r="CK18" s="417"/>
      <c r="CL18" s="417"/>
      <c r="CM18" s="401" t="str">
        <f t="shared" si="68"/>
        <v>No</v>
      </c>
      <c r="CN18" s="402">
        <f t="shared" si="69"/>
        <v>0</v>
      </c>
      <c r="CO18" s="402"/>
      <c r="CP18" s="402" t="str">
        <f t="shared" si="70"/>
        <v/>
      </c>
      <c r="CQ18" s="402" t="str">
        <f t="shared" si="71"/>
        <v/>
      </c>
      <c r="CR18" s="402" t="str">
        <f t="shared" si="72"/>
        <v/>
      </c>
      <c r="CS18" s="402" t="str">
        <f t="shared" si="73"/>
        <v/>
      </c>
      <c r="CT18" s="402"/>
      <c r="CU18" s="401"/>
      <c r="CV18" s="419"/>
      <c r="CW18" s="420">
        <f t="shared" si="74"/>
        <v>0</v>
      </c>
      <c r="CX18" s="413">
        <f t="shared" si="75"/>
        <v>0</v>
      </c>
      <c r="CY18" s="413">
        <f t="shared" si="76"/>
        <v>0</v>
      </c>
      <c r="CZ18" s="413">
        <f t="shared" si="77"/>
        <v>0</v>
      </c>
      <c r="DA18" s="413">
        <f t="shared" si="78"/>
        <v>0</v>
      </c>
      <c r="DB18" s="413">
        <f t="shared" si="79"/>
        <v>0</v>
      </c>
      <c r="DC18" s="413">
        <f t="shared" si="80"/>
        <v>1</v>
      </c>
      <c r="DD18" s="805"/>
      <c r="DE18" s="806" t="str">
        <f t="shared" si="81"/>
        <v/>
      </c>
      <c r="DF18" s="807" t="str">
        <f t="shared" si="82"/>
        <v/>
      </c>
      <c r="DG18" s="807" t="str">
        <f t="shared" si="83"/>
        <v/>
      </c>
      <c r="DH18" s="807" t="str">
        <f t="shared" si="84"/>
        <v/>
      </c>
      <c r="DI18" s="807" t="str">
        <f t="shared" si="85"/>
        <v/>
      </c>
      <c r="DJ18" s="807" t="str">
        <f t="shared" si="86"/>
        <v/>
      </c>
      <c r="DK18" s="807">
        <f t="shared" si="87"/>
        <v>1</v>
      </c>
      <c r="DL18" s="805"/>
      <c r="DM18" s="805"/>
      <c r="DN18" s="808" t="str">
        <f t="shared" si="134"/>
        <v>No cost</v>
      </c>
      <c r="DO18" s="805" t="str">
        <f t="shared" si="88"/>
        <v>No</v>
      </c>
      <c r="DP18" s="417"/>
      <c r="DR18" s="414"/>
      <c r="DS18" s="414"/>
      <c r="DT18" s="414"/>
      <c r="DU18" s="414"/>
      <c r="DV18" s="414"/>
      <c r="DW18" s="414"/>
      <c r="DX18" s="414"/>
      <c r="DY18" s="414">
        <f t="shared" si="89"/>
        <v>0</v>
      </c>
      <c r="EA18" s="414"/>
      <c r="EB18" s="414"/>
      <c r="EC18" s="414"/>
      <c r="ED18" s="414"/>
      <c r="EE18" s="414"/>
      <c r="EF18" s="414"/>
      <c r="EG18" s="414"/>
      <c r="EH18" s="414">
        <f t="shared" si="90"/>
        <v>0</v>
      </c>
      <c r="EJ18" s="414"/>
      <c r="EK18" s="414"/>
      <c r="EL18" s="414"/>
      <c r="EM18" s="414"/>
      <c r="EN18" s="414"/>
      <c r="EO18" s="414"/>
      <c r="EP18" s="414"/>
      <c r="EQ18" s="414">
        <f t="shared" si="91"/>
        <v>0</v>
      </c>
      <c r="ER18" s="414"/>
      <c r="ES18" s="414"/>
      <c r="ET18" s="414"/>
      <c r="EU18" s="414"/>
      <c r="EV18" s="414"/>
      <c r="EW18" s="414"/>
      <c r="EX18" s="414"/>
      <c r="EY18" s="414"/>
      <c r="EZ18" s="412">
        <f t="shared" si="92"/>
        <v>0</v>
      </c>
      <c r="FA18" s="414"/>
      <c r="FB18" s="414"/>
      <c r="FC18" s="414"/>
      <c r="FD18" s="414"/>
      <c r="FE18" s="414"/>
      <c r="FF18" s="414"/>
      <c r="FG18" s="414"/>
      <c r="FH18" s="414"/>
      <c r="FI18" s="412">
        <f t="shared" si="93"/>
        <v>0</v>
      </c>
      <c r="FJ18" s="414"/>
      <c r="FK18" s="414"/>
      <c r="FL18" s="414"/>
      <c r="FM18" s="414"/>
      <c r="FN18" s="414"/>
      <c r="FO18" s="414"/>
      <c r="FP18" s="414"/>
      <c r="FQ18" s="414"/>
      <c r="FR18" s="411">
        <f t="shared" si="94"/>
        <v>0</v>
      </c>
      <c r="FS18" s="414"/>
      <c r="FT18" s="414"/>
      <c r="FU18" s="414"/>
      <c r="FV18" s="414"/>
      <c r="FW18" s="414"/>
      <c r="FX18" s="414"/>
      <c r="FY18" s="414"/>
      <c r="FZ18" s="414"/>
      <c r="GA18" s="412">
        <f t="shared" si="95"/>
        <v>0</v>
      </c>
      <c r="GB18" s="414"/>
      <c r="GC18" s="414"/>
      <c r="GD18" s="414"/>
      <c r="GE18" s="414"/>
      <c r="GF18" s="414"/>
      <c r="GG18" s="414"/>
      <c r="GH18" s="414"/>
      <c r="GI18" s="414"/>
      <c r="GJ18" s="412">
        <f t="shared" si="96"/>
        <v>0</v>
      </c>
      <c r="GK18" s="412">
        <f t="shared" si="97"/>
        <v>0</v>
      </c>
      <c r="GL18" s="412">
        <f t="shared" si="98"/>
        <v>0</v>
      </c>
      <c r="GM18" s="412">
        <f t="shared" si="99"/>
        <v>0</v>
      </c>
      <c r="GN18" s="412">
        <f t="shared" si="100"/>
        <v>0</v>
      </c>
      <c r="GO18" s="412">
        <f t="shared" si="101"/>
        <v>0</v>
      </c>
      <c r="GP18" s="412">
        <f t="shared" si="102"/>
        <v>0</v>
      </c>
      <c r="GQ18" s="412">
        <f t="shared" si="103"/>
        <v>0</v>
      </c>
      <c r="GR18" s="412">
        <f t="shared" si="104"/>
        <v>0</v>
      </c>
      <c r="GS18" s="402">
        <f t="shared" si="105"/>
        <v>0</v>
      </c>
      <c r="GT18" s="412">
        <f t="shared" si="106"/>
        <v>0</v>
      </c>
      <c r="GU18" s="412">
        <f t="shared" si="106"/>
        <v>0</v>
      </c>
      <c r="GV18" s="412">
        <f t="shared" si="106"/>
        <v>0</v>
      </c>
      <c r="GW18" s="412">
        <f t="shared" si="106"/>
        <v>0</v>
      </c>
      <c r="GX18" s="412">
        <f t="shared" si="106"/>
        <v>0</v>
      </c>
      <c r="GY18" s="412">
        <f t="shared" si="106"/>
        <v>0</v>
      </c>
      <c r="GZ18" s="412">
        <f t="shared" si="106"/>
        <v>0</v>
      </c>
      <c r="HA18" s="412">
        <f t="shared" si="135"/>
        <v>0</v>
      </c>
      <c r="HB18" s="812">
        <f t="shared" si="136"/>
        <v>0</v>
      </c>
      <c r="HC18" s="414"/>
      <c r="HD18" s="414"/>
      <c r="HE18" s="414"/>
      <c r="HF18" s="414"/>
      <c r="HG18" s="414"/>
      <c r="HH18" s="414"/>
      <c r="HI18" s="414"/>
      <c r="HJ18" s="590"/>
      <c r="HK18" s="412">
        <f t="shared" si="107"/>
        <v>0</v>
      </c>
      <c r="HL18" s="414">
        <f t="shared" si="108"/>
        <v>0</v>
      </c>
      <c r="HM18" s="414">
        <f t="shared" si="109"/>
        <v>0</v>
      </c>
      <c r="HN18" s="414">
        <f t="shared" si="110"/>
        <v>0</v>
      </c>
      <c r="HO18" s="414">
        <f t="shared" si="111"/>
        <v>0</v>
      </c>
      <c r="HP18" s="414">
        <f t="shared" si="112"/>
        <v>0</v>
      </c>
      <c r="HQ18" s="414">
        <f t="shared" si="113"/>
        <v>0</v>
      </c>
      <c r="HR18" s="414">
        <f t="shared" si="114"/>
        <v>0</v>
      </c>
      <c r="HS18" s="414">
        <f t="shared" si="115"/>
        <v>0</v>
      </c>
      <c r="HT18" s="412">
        <f t="shared" si="116"/>
        <v>0</v>
      </c>
      <c r="HU18" s="415">
        <f t="shared" si="117"/>
        <v>0</v>
      </c>
      <c r="HV18" s="402"/>
      <c r="HW18" s="414" t="str">
        <f t="shared" si="118"/>
        <v/>
      </c>
      <c r="HX18" s="414" t="str">
        <f t="shared" si="119"/>
        <v/>
      </c>
      <c r="HY18" s="413" t="str">
        <f t="shared" si="120"/>
        <v/>
      </c>
      <c r="HZ18" s="414" t="str">
        <f>IF(AND(COUNT(#REF!)=1,$HT18&gt;=1000000, $CM18="Yes"),$HT18,"")</f>
        <v/>
      </c>
      <c r="IA18" s="414" t="str">
        <f t="shared" si="121"/>
        <v/>
      </c>
      <c r="IB18" s="414" t="str">
        <f t="shared" si="122"/>
        <v/>
      </c>
      <c r="IC18" s="419" t="str">
        <f t="shared" si="123"/>
        <v/>
      </c>
      <c r="ID18" s="416"/>
      <c r="IE18" s="413">
        <f t="shared" si="124"/>
        <v>0</v>
      </c>
      <c r="IF18" s="414" t="str">
        <f t="shared" si="125"/>
        <v/>
      </c>
      <c r="IG18" s="414">
        <f t="shared" si="126"/>
        <v>0</v>
      </c>
      <c r="IH18" s="414">
        <f t="shared" si="127"/>
        <v>0</v>
      </c>
      <c r="II18" s="414">
        <f t="shared" si="128"/>
        <v>0</v>
      </c>
      <c r="IJ18" s="414">
        <f t="shared" si="129"/>
        <v>0</v>
      </c>
      <c r="IK18" s="414">
        <f t="shared" si="130"/>
        <v>0</v>
      </c>
      <c r="IL18" s="414">
        <f t="shared" si="131"/>
        <v>0</v>
      </c>
      <c r="IM18" s="414">
        <f t="shared" si="132"/>
        <v>1</v>
      </c>
      <c r="IN18" s="413"/>
      <c r="IO18" s="422"/>
      <c r="IP18" s="421"/>
      <c r="IQ18" s="421"/>
      <c r="IR18" s="421"/>
      <c r="IS18" s="740"/>
      <c r="IT18" s="727">
        <f t="shared" si="133"/>
        <v>0</v>
      </c>
      <c r="IU18" s="410" t="e">
        <f>IF(SUM(#REF!)&gt;0,$EQ18,0)</f>
        <v>#REF!</v>
      </c>
      <c r="IV18" s="409" t="e">
        <f>IF(SUM(#REF!)&gt;0,$EZ18,0)</f>
        <v>#REF!</v>
      </c>
    </row>
    <row r="19" spans="1:256" s="237" customFormat="1" ht="37.200000000000003" customHeight="1">
      <c r="A19" s="400">
        <v>221</v>
      </c>
      <c r="B19" s="719">
        <v>9</v>
      </c>
      <c r="C19" s="589"/>
      <c r="D19" s="417">
        <f t="shared" si="0"/>
        <v>0</v>
      </c>
      <c r="E19" s="417">
        <f t="shared" si="1"/>
        <v>0</v>
      </c>
      <c r="F19" s="417">
        <f t="shared" si="2"/>
        <v>0</v>
      </c>
      <c r="G19" s="417">
        <f t="shared" si="3"/>
        <v>0</v>
      </c>
      <c r="H19" s="417">
        <f t="shared" si="4"/>
        <v>0</v>
      </c>
      <c r="I19" s="417">
        <f t="shared" si="5"/>
        <v>0</v>
      </c>
      <c r="J19" s="417">
        <f t="shared" si="6"/>
        <v>0</v>
      </c>
      <c r="K19" s="417">
        <f t="shared" si="7"/>
        <v>0</v>
      </c>
      <c r="L19" s="417">
        <f t="shared" si="8"/>
        <v>0</v>
      </c>
      <c r="M19" s="417">
        <f t="shared" si="9"/>
        <v>0</v>
      </c>
      <c r="N19" s="417">
        <f t="shared" si="10"/>
        <v>0</v>
      </c>
      <c r="O19" s="417">
        <f t="shared" si="11"/>
        <v>0</v>
      </c>
      <c r="P19" s="417">
        <f t="shared" si="12"/>
        <v>0</v>
      </c>
      <c r="Q19" s="417">
        <f t="shared" si="13"/>
        <v>0</v>
      </c>
      <c r="R19" s="417">
        <f t="shared" si="14"/>
        <v>0</v>
      </c>
      <c r="S19" s="417">
        <f t="shared" si="15"/>
        <v>0</v>
      </c>
      <c r="T19" s="417">
        <f t="shared" si="16"/>
        <v>0</v>
      </c>
      <c r="U19" s="417">
        <f t="shared" si="17"/>
        <v>0</v>
      </c>
      <c r="V19" s="417">
        <f t="shared" si="18"/>
        <v>0</v>
      </c>
      <c r="W19" s="417">
        <f t="shared" si="19"/>
        <v>0</v>
      </c>
      <c r="X19" s="417">
        <f t="shared" si="20"/>
        <v>0</v>
      </c>
      <c r="Y19" s="417">
        <f t="shared" si="21"/>
        <v>0</v>
      </c>
      <c r="Z19" s="417">
        <f t="shared" si="22"/>
        <v>0</v>
      </c>
      <c r="AA19" s="417">
        <f t="shared" si="23"/>
        <v>0</v>
      </c>
      <c r="AB19" s="417">
        <f t="shared" si="24"/>
        <v>0</v>
      </c>
      <c r="AC19" s="417">
        <f t="shared" si="25"/>
        <v>0</v>
      </c>
      <c r="AD19" s="417">
        <f t="shared" si="26"/>
        <v>0</v>
      </c>
      <c r="AE19" s="417">
        <f t="shared" si="27"/>
        <v>0</v>
      </c>
      <c r="AF19" s="417">
        <f t="shared" si="28"/>
        <v>0</v>
      </c>
      <c r="AG19" s="417">
        <f t="shared" si="29"/>
        <v>0</v>
      </c>
      <c r="AH19" s="417">
        <f t="shared" si="30"/>
        <v>0</v>
      </c>
      <c r="AI19" s="417">
        <f t="shared" si="31"/>
        <v>0</v>
      </c>
      <c r="AJ19" s="417">
        <f t="shared" si="32"/>
        <v>0</v>
      </c>
      <c r="AK19" s="417">
        <f t="shared" si="33"/>
        <v>0</v>
      </c>
      <c r="AL19" s="417">
        <f t="shared" si="34"/>
        <v>1</v>
      </c>
      <c r="AM19" s="419"/>
      <c r="AN19" s="419"/>
      <c r="AO19" s="419"/>
      <c r="AP19" s="419"/>
      <c r="AQ19" s="419"/>
      <c r="AR19" s="403"/>
      <c r="AS19" s="403"/>
      <c r="AT19" s="403"/>
      <c r="AU19" s="403"/>
      <c r="AV19" s="413">
        <f t="shared" si="35"/>
        <v>0</v>
      </c>
      <c r="AW19" s="413">
        <f t="shared" si="36"/>
        <v>0</v>
      </c>
      <c r="AX19" s="413">
        <f t="shared" si="37"/>
        <v>0</v>
      </c>
      <c r="AY19" s="413">
        <f t="shared" si="38"/>
        <v>0</v>
      </c>
      <c r="AZ19" s="413">
        <f t="shared" si="39"/>
        <v>0</v>
      </c>
      <c r="BA19" s="413">
        <f t="shared" si="40"/>
        <v>1</v>
      </c>
      <c r="BB19" s="419"/>
      <c r="BC19" s="419"/>
      <c r="BD19" s="413">
        <f t="shared" si="41"/>
        <v>0</v>
      </c>
      <c r="BE19" s="413">
        <f t="shared" si="42"/>
        <v>0</v>
      </c>
      <c r="BF19" s="413">
        <f t="shared" si="43"/>
        <v>0</v>
      </c>
      <c r="BG19" s="413">
        <f t="shared" si="44"/>
        <v>1</v>
      </c>
      <c r="BH19" s="417"/>
      <c r="BI19" s="417">
        <f t="shared" si="45"/>
        <v>0</v>
      </c>
      <c r="BJ19" s="417">
        <f t="shared" si="46"/>
        <v>0</v>
      </c>
      <c r="BK19" s="417">
        <f t="shared" si="47"/>
        <v>0</v>
      </c>
      <c r="BL19" s="417">
        <f t="shared" si="48"/>
        <v>0</v>
      </c>
      <c r="BM19" s="417">
        <f t="shared" si="49"/>
        <v>0</v>
      </c>
      <c r="BN19" s="417">
        <f t="shared" si="50"/>
        <v>0</v>
      </c>
      <c r="BO19" s="417">
        <f t="shared" si="51"/>
        <v>0</v>
      </c>
      <c r="BP19" s="417">
        <f t="shared" si="52"/>
        <v>0</v>
      </c>
      <c r="BQ19" s="417">
        <f t="shared" si="53"/>
        <v>0</v>
      </c>
      <c r="BR19" s="417">
        <f t="shared" si="54"/>
        <v>0</v>
      </c>
      <c r="BS19" s="417">
        <f t="shared" si="55"/>
        <v>0</v>
      </c>
      <c r="BT19" s="417">
        <f t="shared" si="56"/>
        <v>0</v>
      </c>
      <c r="BU19" s="417">
        <f t="shared" si="57"/>
        <v>0</v>
      </c>
      <c r="BV19" s="417">
        <f t="shared" si="58"/>
        <v>0</v>
      </c>
      <c r="BW19" s="417">
        <f t="shared" si="59"/>
        <v>0</v>
      </c>
      <c r="BX19" s="417">
        <f t="shared" si="60"/>
        <v>0</v>
      </c>
      <c r="BY19" s="417">
        <f t="shared" si="61"/>
        <v>0</v>
      </c>
      <c r="BZ19" s="417"/>
      <c r="CA19" s="417"/>
      <c r="CB19" s="401"/>
      <c r="CC19" s="414" t="str">
        <f t="shared" si="62"/>
        <v/>
      </c>
      <c r="CD19" s="414" t="str">
        <f t="shared" si="63"/>
        <v/>
      </c>
      <c r="CE19" s="414" t="str">
        <f t="shared" si="64"/>
        <v/>
      </c>
      <c r="CF19" s="414" t="str">
        <f t="shared" si="65"/>
        <v/>
      </c>
      <c r="CG19" s="414" t="str">
        <f t="shared" si="66"/>
        <v/>
      </c>
      <c r="CH19" s="414" t="str">
        <f t="shared" si="67"/>
        <v/>
      </c>
      <c r="CI19" s="403"/>
      <c r="CJ19" s="403"/>
      <c r="CK19" s="417"/>
      <c r="CL19" s="417"/>
      <c r="CM19" s="401" t="str">
        <f t="shared" si="68"/>
        <v>No</v>
      </c>
      <c r="CN19" s="402">
        <f t="shared" si="69"/>
        <v>0</v>
      </c>
      <c r="CO19" s="402"/>
      <c r="CP19" s="402" t="str">
        <f t="shared" si="70"/>
        <v/>
      </c>
      <c r="CQ19" s="402" t="str">
        <f t="shared" si="71"/>
        <v/>
      </c>
      <c r="CR19" s="402" t="str">
        <f t="shared" si="72"/>
        <v/>
      </c>
      <c r="CS19" s="402" t="str">
        <f t="shared" si="73"/>
        <v/>
      </c>
      <c r="CT19" s="402"/>
      <c r="CU19" s="401"/>
      <c r="CV19" s="419"/>
      <c r="CW19" s="420">
        <f t="shared" si="74"/>
        <v>0</v>
      </c>
      <c r="CX19" s="413">
        <f t="shared" si="75"/>
        <v>0</v>
      </c>
      <c r="CY19" s="413">
        <f t="shared" si="76"/>
        <v>0</v>
      </c>
      <c r="CZ19" s="413">
        <f t="shared" si="77"/>
        <v>0</v>
      </c>
      <c r="DA19" s="413">
        <f t="shared" si="78"/>
        <v>0</v>
      </c>
      <c r="DB19" s="413">
        <f t="shared" si="79"/>
        <v>0</v>
      </c>
      <c r="DC19" s="413">
        <f t="shared" si="80"/>
        <v>1</v>
      </c>
      <c r="DD19" s="805"/>
      <c r="DE19" s="806" t="str">
        <f t="shared" si="81"/>
        <v/>
      </c>
      <c r="DF19" s="807" t="str">
        <f t="shared" si="82"/>
        <v/>
      </c>
      <c r="DG19" s="807" t="str">
        <f t="shared" si="83"/>
        <v/>
      </c>
      <c r="DH19" s="807" t="str">
        <f t="shared" si="84"/>
        <v/>
      </c>
      <c r="DI19" s="807" t="str">
        <f t="shared" si="85"/>
        <v/>
      </c>
      <c r="DJ19" s="807" t="str">
        <f t="shared" si="86"/>
        <v/>
      </c>
      <c r="DK19" s="807">
        <f t="shared" si="87"/>
        <v>1</v>
      </c>
      <c r="DL19" s="805"/>
      <c r="DM19" s="805"/>
      <c r="DN19" s="808" t="str">
        <f t="shared" si="134"/>
        <v>No cost</v>
      </c>
      <c r="DO19" s="805" t="str">
        <f t="shared" si="88"/>
        <v>No</v>
      </c>
      <c r="DP19" s="417"/>
      <c r="DR19" s="414"/>
      <c r="DS19" s="414"/>
      <c r="DT19" s="414"/>
      <c r="DU19" s="414"/>
      <c r="DV19" s="414"/>
      <c r="DW19" s="414"/>
      <c r="DX19" s="414"/>
      <c r="DY19" s="414">
        <f t="shared" si="89"/>
        <v>0</v>
      </c>
      <c r="EA19" s="414"/>
      <c r="EB19" s="414"/>
      <c r="EC19" s="414"/>
      <c r="ED19" s="414"/>
      <c r="EE19" s="414"/>
      <c r="EF19" s="414"/>
      <c r="EG19" s="414"/>
      <c r="EH19" s="414">
        <f t="shared" si="90"/>
        <v>0</v>
      </c>
      <c r="EJ19" s="414"/>
      <c r="EK19" s="414"/>
      <c r="EL19" s="414"/>
      <c r="EM19" s="414"/>
      <c r="EN19" s="414"/>
      <c r="EO19" s="414"/>
      <c r="EP19" s="414"/>
      <c r="EQ19" s="414">
        <f t="shared" si="91"/>
        <v>0</v>
      </c>
      <c r="ER19" s="414"/>
      <c r="ES19" s="414"/>
      <c r="ET19" s="414"/>
      <c r="EU19" s="414"/>
      <c r="EV19" s="414"/>
      <c r="EW19" s="414"/>
      <c r="EX19" s="414"/>
      <c r="EY19" s="414"/>
      <c r="EZ19" s="412">
        <f t="shared" si="92"/>
        <v>0</v>
      </c>
      <c r="FA19" s="414"/>
      <c r="FB19" s="414"/>
      <c r="FC19" s="414"/>
      <c r="FD19" s="414"/>
      <c r="FE19" s="414"/>
      <c r="FF19" s="414"/>
      <c r="FG19" s="414"/>
      <c r="FH19" s="414"/>
      <c r="FI19" s="412">
        <f t="shared" si="93"/>
        <v>0</v>
      </c>
      <c r="FJ19" s="414"/>
      <c r="FK19" s="414"/>
      <c r="FL19" s="414"/>
      <c r="FM19" s="414"/>
      <c r="FN19" s="414"/>
      <c r="FO19" s="414"/>
      <c r="FP19" s="414"/>
      <c r="FQ19" s="414"/>
      <c r="FR19" s="411">
        <f t="shared" si="94"/>
        <v>0</v>
      </c>
      <c r="FS19" s="414"/>
      <c r="FT19" s="414"/>
      <c r="FU19" s="414"/>
      <c r="FV19" s="414"/>
      <c r="FW19" s="414"/>
      <c r="FX19" s="414"/>
      <c r="FY19" s="414"/>
      <c r="FZ19" s="414"/>
      <c r="GA19" s="412">
        <f t="shared" si="95"/>
        <v>0</v>
      </c>
      <c r="GB19" s="414"/>
      <c r="GC19" s="414"/>
      <c r="GD19" s="414"/>
      <c r="GE19" s="414"/>
      <c r="GF19" s="414"/>
      <c r="GG19" s="414"/>
      <c r="GH19" s="414"/>
      <c r="GI19" s="414"/>
      <c r="GJ19" s="412">
        <f t="shared" si="96"/>
        <v>0</v>
      </c>
      <c r="GK19" s="412">
        <f t="shared" si="97"/>
        <v>0</v>
      </c>
      <c r="GL19" s="412">
        <f t="shared" si="98"/>
        <v>0</v>
      </c>
      <c r="GM19" s="412">
        <f t="shared" si="99"/>
        <v>0</v>
      </c>
      <c r="GN19" s="412">
        <f t="shared" si="100"/>
        <v>0</v>
      </c>
      <c r="GO19" s="412">
        <f t="shared" si="101"/>
        <v>0</v>
      </c>
      <c r="GP19" s="412">
        <f t="shared" si="102"/>
        <v>0</v>
      </c>
      <c r="GQ19" s="412">
        <f t="shared" si="103"/>
        <v>0</v>
      </c>
      <c r="GR19" s="412">
        <f t="shared" si="104"/>
        <v>0</v>
      </c>
      <c r="GS19" s="402">
        <f t="shared" si="105"/>
        <v>0</v>
      </c>
      <c r="GT19" s="412">
        <f t="shared" si="106"/>
        <v>0</v>
      </c>
      <c r="GU19" s="412">
        <f t="shared" si="106"/>
        <v>0</v>
      </c>
      <c r="GV19" s="412">
        <f t="shared" si="106"/>
        <v>0</v>
      </c>
      <c r="GW19" s="412">
        <f t="shared" si="106"/>
        <v>0</v>
      </c>
      <c r="GX19" s="412">
        <f t="shared" si="106"/>
        <v>0</v>
      </c>
      <c r="GY19" s="412">
        <f t="shared" si="106"/>
        <v>0</v>
      </c>
      <c r="GZ19" s="412">
        <f t="shared" si="106"/>
        <v>0</v>
      </c>
      <c r="HA19" s="412">
        <f t="shared" si="135"/>
        <v>0</v>
      </c>
      <c r="HB19" s="812">
        <f t="shared" si="136"/>
        <v>0</v>
      </c>
      <c r="HC19" s="414"/>
      <c r="HD19" s="414"/>
      <c r="HE19" s="414"/>
      <c r="HF19" s="414"/>
      <c r="HG19" s="414"/>
      <c r="HH19" s="414"/>
      <c r="HI19" s="414"/>
      <c r="HJ19" s="590"/>
      <c r="HK19" s="412">
        <f t="shared" si="107"/>
        <v>0</v>
      </c>
      <c r="HL19" s="414">
        <f t="shared" si="108"/>
        <v>0</v>
      </c>
      <c r="HM19" s="414">
        <f t="shared" si="109"/>
        <v>0</v>
      </c>
      <c r="HN19" s="414">
        <f t="shared" si="110"/>
        <v>0</v>
      </c>
      <c r="HO19" s="414">
        <f t="shared" si="111"/>
        <v>0</v>
      </c>
      <c r="HP19" s="414">
        <f t="shared" si="112"/>
        <v>0</v>
      </c>
      <c r="HQ19" s="414">
        <f t="shared" si="113"/>
        <v>0</v>
      </c>
      <c r="HR19" s="414">
        <f t="shared" si="114"/>
        <v>0</v>
      </c>
      <c r="HS19" s="414">
        <f t="shared" si="115"/>
        <v>0</v>
      </c>
      <c r="HT19" s="412">
        <f t="shared" si="116"/>
        <v>0</v>
      </c>
      <c r="HU19" s="415">
        <f t="shared" si="117"/>
        <v>0</v>
      </c>
      <c r="HV19" s="402"/>
      <c r="HW19" s="414" t="str">
        <f t="shared" si="118"/>
        <v/>
      </c>
      <c r="HX19" s="414" t="str">
        <f t="shared" si="119"/>
        <v/>
      </c>
      <c r="HY19" s="413" t="str">
        <f t="shared" si="120"/>
        <v/>
      </c>
      <c r="HZ19" s="414" t="str">
        <f>IF(AND(COUNT(#REF!)=1,$HT19&gt;=1000000, $CM19="Yes"),$HT19,"")</f>
        <v/>
      </c>
      <c r="IA19" s="414" t="str">
        <f t="shared" si="121"/>
        <v/>
      </c>
      <c r="IB19" s="414" t="str">
        <f t="shared" si="122"/>
        <v/>
      </c>
      <c r="IC19" s="419" t="str">
        <f t="shared" si="123"/>
        <v/>
      </c>
      <c r="ID19" s="416"/>
      <c r="IE19" s="413">
        <f t="shared" si="124"/>
        <v>0</v>
      </c>
      <c r="IF19" s="414" t="str">
        <f t="shared" si="125"/>
        <v/>
      </c>
      <c r="IG19" s="414">
        <f t="shared" si="126"/>
        <v>0</v>
      </c>
      <c r="IH19" s="414">
        <f t="shared" si="127"/>
        <v>0</v>
      </c>
      <c r="II19" s="414">
        <f t="shared" si="128"/>
        <v>0</v>
      </c>
      <c r="IJ19" s="414">
        <f t="shared" si="129"/>
        <v>0</v>
      </c>
      <c r="IK19" s="414">
        <f t="shared" si="130"/>
        <v>0</v>
      </c>
      <c r="IL19" s="414">
        <f t="shared" si="131"/>
        <v>0</v>
      </c>
      <c r="IM19" s="414">
        <f t="shared" si="132"/>
        <v>1</v>
      </c>
      <c r="IN19" s="413"/>
      <c r="IO19" s="422"/>
      <c r="IP19" s="421"/>
      <c r="IQ19" s="421"/>
      <c r="IR19" s="421"/>
      <c r="IS19" s="740"/>
      <c r="IT19" s="727">
        <f t="shared" si="133"/>
        <v>0</v>
      </c>
      <c r="IU19" s="410" t="e">
        <f>IF(SUM(#REF!)&gt;0,$EQ19,0)</f>
        <v>#REF!</v>
      </c>
      <c r="IV19" s="409" t="e">
        <f>IF(SUM(#REF!)&gt;0,$EZ19,0)</f>
        <v>#REF!</v>
      </c>
    </row>
    <row r="20" spans="1:256" s="237" customFormat="1" ht="37.200000000000003" customHeight="1" thickBot="1">
      <c r="A20" s="400">
        <v>221</v>
      </c>
      <c r="B20" s="719">
        <v>10</v>
      </c>
      <c r="C20" s="741"/>
      <c r="D20" s="742">
        <f t="shared" si="0"/>
        <v>0</v>
      </c>
      <c r="E20" s="742">
        <f t="shared" si="1"/>
        <v>0</v>
      </c>
      <c r="F20" s="742">
        <f t="shared" si="2"/>
        <v>0</v>
      </c>
      <c r="G20" s="742">
        <f t="shared" si="3"/>
        <v>0</v>
      </c>
      <c r="H20" s="742">
        <f t="shared" si="4"/>
        <v>0</v>
      </c>
      <c r="I20" s="742">
        <f t="shared" si="5"/>
        <v>0</v>
      </c>
      <c r="J20" s="742">
        <f t="shared" si="6"/>
        <v>0</v>
      </c>
      <c r="K20" s="742">
        <f t="shared" si="7"/>
        <v>0</v>
      </c>
      <c r="L20" s="742">
        <f t="shared" si="8"/>
        <v>0</v>
      </c>
      <c r="M20" s="742">
        <f t="shared" si="9"/>
        <v>0</v>
      </c>
      <c r="N20" s="742">
        <f t="shared" si="10"/>
        <v>0</v>
      </c>
      <c r="O20" s="742">
        <f t="shared" si="11"/>
        <v>0</v>
      </c>
      <c r="P20" s="742">
        <f t="shared" si="12"/>
        <v>0</v>
      </c>
      <c r="Q20" s="742">
        <f t="shared" si="13"/>
        <v>0</v>
      </c>
      <c r="R20" s="742">
        <f t="shared" si="14"/>
        <v>0</v>
      </c>
      <c r="S20" s="742">
        <f t="shared" si="15"/>
        <v>0</v>
      </c>
      <c r="T20" s="742">
        <f t="shared" si="16"/>
        <v>0</v>
      </c>
      <c r="U20" s="742">
        <f t="shared" si="17"/>
        <v>0</v>
      </c>
      <c r="V20" s="742">
        <f t="shared" si="18"/>
        <v>0</v>
      </c>
      <c r="W20" s="742">
        <f t="shared" si="19"/>
        <v>0</v>
      </c>
      <c r="X20" s="742">
        <f t="shared" si="20"/>
        <v>0</v>
      </c>
      <c r="Y20" s="742">
        <f t="shared" si="21"/>
        <v>0</v>
      </c>
      <c r="Z20" s="742">
        <f t="shared" si="22"/>
        <v>0</v>
      </c>
      <c r="AA20" s="742">
        <f t="shared" si="23"/>
        <v>0</v>
      </c>
      <c r="AB20" s="742">
        <f t="shared" si="24"/>
        <v>0</v>
      </c>
      <c r="AC20" s="742">
        <f t="shared" si="25"/>
        <v>0</v>
      </c>
      <c r="AD20" s="742">
        <f t="shared" si="26"/>
        <v>0</v>
      </c>
      <c r="AE20" s="742">
        <f t="shared" si="27"/>
        <v>0</v>
      </c>
      <c r="AF20" s="742">
        <f t="shared" si="28"/>
        <v>0</v>
      </c>
      <c r="AG20" s="742">
        <f t="shared" si="29"/>
        <v>0</v>
      </c>
      <c r="AH20" s="742">
        <f t="shared" si="30"/>
        <v>0</v>
      </c>
      <c r="AI20" s="742">
        <f t="shared" si="31"/>
        <v>0</v>
      </c>
      <c r="AJ20" s="742">
        <f t="shared" si="32"/>
        <v>0</v>
      </c>
      <c r="AK20" s="742">
        <f t="shared" si="33"/>
        <v>0</v>
      </c>
      <c r="AL20" s="742">
        <f t="shared" si="34"/>
        <v>1</v>
      </c>
      <c r="AM20" s="743"/>
      <c r="AN20" s="743"/>
      <c r="AO20" s="743"/>
      <c r="AP20" s="743"/>
      <c r="AQ20" s="743"/>
      <c r="AR20" s="744"/>
      <c r="AS20" s="744"/>
      <c r="AT20" s="744"/>
      <c r="AU20" s="744"/>
      <c r="AV20" s="745">
        <f t="shared" si="35"/>
        <v>0</v>
      </c>
      <c r="AW20" s="745">
        <f t="shared" si="36"/>
        <v>0</v>
      </c>
      <c r="AX20" s="745">
        <f t="shared" si="37"/>
        <v>0</v>
      </c>
      <c r="AY20" s="745">
        <f t="shared" si="38"/>
        <v>0</v>
      </c>
      <c r="AZ20" s="745">
        <f t="shared" si="39"/>
        <v>0</v>
      </c>
      <c r="BA20" s="745">
        <f t="shared" si="40"/>
        <v>1</v>
      </c>
      <c r="BB20" s="743"/>
      <c r="BC20" s="743"/>
      <c r="BD20" s="745">
        <f t="shared" si="41"/>
        <v>0</v>
      </c>
      <c r="BE20" s="745">
        <f t="shared" si="42"/>
        <v>0</v>
      </c>
      <c r="BF20" s="745">
        <f t="shared" si="43"/>
        <v>0</v>
      </c>
      <c r="BG20" s="745">
        <f t="shared" si="44"/>
        <v>1</v>
      </c>
      <c r="BH20" s="742"/>
      <c r="BI20" s="742">
        <f t="shared" si="45"/>
        <v>0</v>
      </c>
      <c r="BJ20" s="742">
        <f t="shared" si="46"/>
        <v>0</v>
      </c>
      <c r="BK20" s="742">
        <f t="shared" si="47"/>
        <v>0</v>
      </c>
      <c r="BL20" s="742">
        <f t="shared" si="48"/>
        <v>0</v>
      </c>
      <c r="BM20" s="742">
        <f t="shared" si="49"/>
        <v>0</v>
      </c>
      <c r="BN20" s="742">
        <f t="shared" si="50"/>
        <v>0</v>
      </c>
      <c r="BO20" s="742">
        <f t="shared" si="51"/>
        <v>0</v>
      </c>
      <c r="BP20" s="742">
        <f t="shared" si="52"/>
        <v>0</v>
      </c>
      <c r="BQ20" s="742">
        <f t="shared" si="53"/>
        <v>0</v>
      </c>
      <c r="BR20" s="742">
        <f t="shared" si="54"/>
        <v>0</v>
      </c>
      <c r="BS20" s="742">
        <f t="shared" si="55"/>
        <v>0</v>
      </c>
      <c r="BT20" s="742">
        <f t="shared" si="56"/>
        <v>0</v>
      </c>
      <c r="BU20" s="742">
        <f t="shared" si="57"/>
        <v>0</v>
      </c>
      <c r="BV20" s="742">
        <f t="shared" si="58"/>
        <v>0</v>
      </c>
      <c r="BW20" s="742">
        <f t="shared" si="59"/>
        <v>0</v>
      </c>
      <c r="BX20" s="742">
        <f t="shared" si="60"/>
        <v>0</v>
      </c>
      <c r="BY20" s="742">
        <f t="shared" si="61"/>
        <v>0</v>
      </c>
      <c r="BZ20" s="742"/>
      <c r="CA20" s="742"/>
      <c r="CB20" s="746"/>
      <c r="CC20" s="747" t="str">
        <f t="shared" si="62"/>
        <v/>
      </c>
      <c r="CD20" s="747" t="str">
        <f t="shared" si="63"/>
        <v/>
      </c>
      <c r="CE20" s="747" t="str">
        <f t="shared" si="64"/>
        <v/>
      </c>
      <c r="CF20" s="747" t="str">
        <f t="shared" si="65"/>
        <v/>
      </c>
      <c r="CG20" s="747" t="str">
        <f t="shared" si="66"/>
        <v/>
      </c>
      <c r="CH20" s="747" t="str">
        <f t="shared" si="67"/>
        <v/>
      </c>
      <c r="CI20" s="744"/>
      <c r="CJ20" s="744"/>
      <c r="CK20" s="742"/>
      <c r="CL20" s="742"/>
      <c r="CM20" s="746" t="str">
        <f t="shared" si="68"/>
        <v>No</v>
      </c>
      <c r="CN20" s="748">
        <f t="shared" si="69"/>
        <v>0</v>
      </c>
      <c r="CO20" s="748"/>
      <c r="CP20" s="748" t="str">
        <f t="shared" si="70"/>
        <v/>
      </c>
      <c r="CQ20" s="748" t="str">
        <f t="shared" si="71"/>
        <v/>
      </c>
      <c r="CR20" s="748" t="str">
        <f t="shared" si="72"/>
        <v/>
      </c>
      <c r="CS20" s="748" t="str">
        <f t="shared" si="73"/>
        <v/>
      </c>
      <c r="CT20" s="748"/>
      <c r="CU20" s="746"/>
      <c r="CV20" s="743"/>
      <c r="CW20" s="749">
        <f t="shared" si="74"/>
        <v>0</v>
      </c>
      <c r="CX20" s="745">
        <f t="shared" si="75"/>
        <v>0</v>
      </c>
      <c r="CY20" s="745">
        <f t="shared" si="76"/>
        <v>0</v>
      </c>
      <c r="CZ20" s="745">
        <f t="shared" si="77"/>
        <v>0</v>
      </c>
      <c r="DA20" s="745">
        <f t="shared" si="78"/>
        <v>0</v>
      </c>
      <c r="DB20" s="745">
        <f t="shared" si="79"/>
        <v>0</v>
      </c>
      <c r="DC20" s="745">
        <f t="shared" si="80"/>
        <v>1</v>
      </c>
      <c r="DD20" s="809"/>
      <c r="DE20" s="810" t="str">
        <f t="shared" si="81"/>
        <v/>
      </c>
      <c r="DF20" s="811" t="str">
        <f t="shared" si="82"/>
        <v/>
      </c>
      <c r="DG20" s="811" t="str">
        <f t="shared" si="83"/>
        <v/>
      </c>
      <c r="DH20" s="811" t="str">
        <f t="shared" si="84"/>
        <v/>
      </c>
      <c r="DI20" s="811" t="str">
        <f t="shared" si="85"/>
        <v/>
      </c>
      <c r="DJ20" s="811" t="str">
        <f t="shared" si="86"/>
        <v/>
      </c>
      <c r="DK20" s="811">
        <f t="shared" si="87"/>
        <v>1</v>
      </c>
      <c r="DL20" s="809"/>
      <c r="DM20" s="809"/>
      <c r="DN20" s="819" t="str">
        <f t="shared" si="134"/>
        <v>No cost</v>
      </c>
      <c r="DO20" s="809" t="str">
        <f t="shared" si="88"/>
        <v>No</v>
      </c>
      <c r="DP20" s="742"/>
      <c r="DQ20" s="751"/>
      <c r="DR20" s="747"/>
      <c r="DS20" s="747"/>
      <c r="DT20" s="747"/>
      <c r="DU20" s="747"/>
      <c r="DV20" s="747"/>
      <c r="DW20" s="747"/>
      <c r="DX20" s="747"/>
      <c r="DY20" s="747">
        <f t="shared" si="89"/>
        <v>0</v>
      </c>
      <c r="DZ20" s="751"/>
      <c r="EA20" s="747"/>
      <c r="EB20" s="747"/>
      <c r="EC20" s="747"/>
      <c r="ED20" s="747"/>
      <c r="EE20" s="747"/>
      <c r="EF20" s="747"/>
      <c r="EG20" s="747"/>
      <c r="EH20" s="747">
        <f t="shared" si="90"/>
        <v>0</v>
      </c>
      <c r="EI20" s="751"/>
      <c r="EJ20" s="747"/>
      <c r="EK20" s="747"/>
      <c r="EL20" s="747"/>
      <c r="EM20" s="747"/>
      <c r="EN20" s="747"/>
      <c r="EO20" s="747"/>
      <c r="EP20" s="747"/>
      <c r="EQ20" s="747">
        <f t="shared" si="91"/>
        <v>0</v>
      </c>
      <c r="ER20" s="747"/>
      <c r="ES20" s="747"/>
      <c r="ET20" s="747"/>
      <c r="EU20" s="747"/>
      <c r="EV20" s="747"/>
      <c r="EW20" s="747"/>
      <c r="EX20" s="747"/>
      <c r="EY20" s="747"/>
      <c r="EZ20" s="752">
        <f t="shared" si="92"/>
        <v>0</v>
      </c>
      <c r="FA20" s="747"/>
      <c r="FB20" s="747"/>
      <c r="FC20" s="747"/>
      <c r="FD20" s="747"/>
      <c r="FE20" s="747"/>
      <c r="FF20" s="747"/>
      <c r="FG20" s="747"/>
      <c r="FH20" s="747"/>
      <c r="FI20" s="752">
        <f t="shared" si="93"/>
        <v>0</v>
      </c>
      <c r="FJ20" s="747"/>
      <c r="FK20" s="747"/>
      <c r="FL20" s="747"/>
      <c r="FM20" s="747"/>
      <c r="FN20" s="747"/>
      <c r="FO20" s="747"/>
      <c r="FP20" s="747"/>
      <c r="FQ20" s="747"/>
      <c r="FR20" s="753">
        <f t="shared" si="94"/>
        <v>0</v>
      </c>
      <c r="FS20" s="747"/>
      <c r="FT20" s="747"/>
      <c r="FU20" s="747"/>
      <c r="FV20" s="747"/>
      <c r="FW20" s="747"/>
      <c r="FX20" s="747"/>
      <c r="FY20" s="747"/>
      <c r="FZ20" s="747"/>
      <c r="GA20" s="752">
        <f t="shared" si="95"/>
        <v>0</v>
      </c>
      <c r="GB20" s="747"/>
      <c r="GC20" s="747"/>
      <c r="GD20" s="747"/>
      <c r="GE20" s="747"/>
      <c r="GF20" s="747"/>
      <c r="GG20" s="747"/>
      <c r="GH20" s="747"/>
      <c r="GI20" s="747"/>
      <c r="GJ20" s="752">
        <f t="shared" si="96"/>
        <v>0</v>
      </c>
      <c r="GK20" s="752">
        <f t="shared" si="97"/>
        <v>0</v>
      </c>
      <c r="GL20" s="752">
        <f t="shared" si="98"/>
        <v>0</v>
      </c>
      <c r="GM20" s="752">
        <f t="shared" si="99"/>
        <v>0</v>
      </c>
      <c r="GN20" s="752">
        <f t="shared" si="100"/>
        <v>0</v>
      </c>
      <c r="GO20" s="752">
        <f t="shared" si="101"/>
        <v>0</v>
      </c>
      <c r="GP20" s="752">
        <f t="shared" si="102"/>
        <v>0</v>
      </c>
      <c r="GQ20" s="752">
        <f t="shared" si="103"/>
        <v>0</v>
      </c>
      <c r="GR20" s="752">
        <f t="shared" si="104"/>
        <v>0</v>
      </c>
      <c r="GS20" s="748">
        <f t="shared" si="105"/>
        <v>0</v>
      </c>
      <c r="GT20" s="752">
        <f t="shared" si="106"/>
        <v>0</v>
      </c>
      <c r="GU20" s="752">
        <f t="shared" si="106"/>
        <v>0</v>
      </c>
      <c r="GV20" s="752">
        <f t="shared" si="106"/>
        <v>0</v>
      </c>
      <c r="GW20" s="752">
        <f t="shared" si="106"/>
        <v>0</v>
      </c>
      <c r="GX20" s="752">
        <f t="shared" si="106"/>
        <v>0</v>
      </c>
      <c r="GY20" s="752">
        <f t="shared" si="106"/>
        <v>0</v>
      </c>
      <c r="GZ20" s="752">
        <f t="shared" si="106"/>
        <v>0</v>
      </c>
      <c r="HA20" s="752">
        <f t="shared" si="135"/>
        <v>0</v>
      </c>
      <c r="HB20" s="813">
        <f t="shared" si="136"/>
        <v>0</v>
      </c>
      <c r="HC20" s="747"/>
      <c r="HD20" s="747"/>
      <c r="HE20" s="747"/>
      <c r="HF20" s="747"/>
      <c r="HG20" s="747"/>
      <c r="HH20" s="747"/>
      <c r="HI20" s="747"/>
      <c r="HJ20" s="754"/>
      <c r="HK20" s="752">
        <f t="shared" si="107"/>
        <v>0</v>
      </c>
      <c r="HL20" s="747">
        <f t="shared" si="108"/>
        <v>0</v>
      </c>
      <c r="HM20" s="747">
        <f t="shared" si="109"/>
        <v>0</v>
      </c>
      <c r="HN20" s="747">
        <f t="shared" si="110"/>
        <v>0</v>
      </c>
      <c r="HO20" s="747">
        <f t="shared" si="111"/>
        <v>0</v>
      </c>
      <c r="HP20" s="747">
        <f t="shared" si="112"/>
        <v>0</v>
      </c>
      <c r="HQ20" s="747">
        <f t="shared" si="113"/>
        <v>0</v>
      </c>
      <c r="HR20" s="747">
        <f t="shared" si="114"/>
        <v>0</v>
      </c>
      <c r="HS20" s="747">
        <f t="shared" si="115"/>
        <v>0</v>
      </c>
      <c r="HT20" s="752">
        <f t="shared" si="116"/>
        <v>0</v>
      </c>
      <c r="HU20" s="755">
        <f t="shared" si="117"/>
        <v>0</v>
      </c>
      <c r="HV20" s="748"/>
      <c r="HW20" s="747" t="str">
        <f t="shared" si="118"/>
        <v/>
      </c>
      <c r="HX20" s="747" t="str">
        <f t="shared" si="119"/>
        <v/>
      </c>
      <c r="HY20" s="745" t="str">
        <f t="shared" si="120"/>
        <v/>
      </c>
      <c r="HZ20" s="747" t="str">
        <f>IF(AND(COUNT(#REF!)=1,$HT20&gt;=1000000, $CM20="Yes"),$HT20,"")</f>
        <v/>
      </c>
      <c r="IA20" s="747" t="str">
        <f t="shared" si="121"/>
        <v/>
      </c>
      <c r="IB20" s="747" t="str">
        <f t="shared" si="122"/>
        <v/>
      </c>
      <c r="IC20" s="743" t="str">
        <f t="shared" si="123"/>
        <v/>
      </c>
      <c r="ID20" s="750"/>
      <c r="IE20" s="745">
        <f t="shared" si="124"/>
        <v>0</v>
      </c>
      <c r="IF20" s="747" t="str">
        <f t="shared" si="125"/>
        <v/>
      </c>
      <c r="IG20" s="747">
        <f t="shared" si="126"/>
        <v>0</v>
      </c>
      <c r="IH20" s="747">
        <f t="shared" si="127"/>
        <v>0</v>
      </c>
      <c r="II20" s="747">
        <f t="shared" si="128"/>
        <v>0</v>
      </c>
      <c r="IJ20" s="747">
        <f t="shared" si="129"/>
        <v>0</v>
      </c>
      <c r="IK20" s="747">
        <f t="shared" si="130"/>
        <v>0</v>
      </c>
      <c r="IL20" s="747">
        <f t="shared" si="131"/>
        <v>0</v>
      </c>
      <c r="IM20" s="747">
        <f t="shared" si="132"/>
        <v>1</v>
      </c>
      <c r="IN20" s="745"/>
      <c r="IO20" s="756"/>
      <c r="IP20" s="757"/>
      <c r="IQ20" s="757"/>
      <c r="IR20" s="757"/>
      <c r="IS20" s="758"/>
      <c r="IT20" s="727">
        <f t="shared" si="133"/>
        <v>0</v>
      </c>
      <c r="IU20" s="410" t="e">
        <f>IF(SUM(#REF!)&gt;0,$EQ20,0)</f>
        <v>#REF!</v>
      </c>
      <c r="IV20" s="409" t="e">
        <f>IF(SUM(#REF!)&gt;0,$EZ20,0)</f>
        <v>#REF!</v>
      </c>
    </row>
    <row r="21" spans="1:256" s="169" customFormat="1">
      <c r="B21" s="720"/>
      <c r="C21" s="34"/>
      <c r="D21" s="41"/>
      <c r="E21" s="41"/>
      <c r="F21" s="41"/>
      <c r="G21" s="41"/>
      <c r="H21" s="41"/>
      <c r="I21" s="41"/>
      <c r="J21" s="41"/>
      <c r="K21" s="41"/>
      <c r="L21" s="41"/>
      <c r="M21" s="41"/>
      <c r="N21" s="41"/>
      <c r="O21" s="41"/>
      <c r="P21" s="41"/>
      <c r="Q21" s="41"/>
      <c r="R21" s="41"/>
      <c r="S21" s="41"/>
      <c r="T21" s="41"/>
      <c r="U21" s="41"/>
      <c r="V21" s="41"/>
      <c r="W21" s="41"/>
      <c r="X21" s="41"/>
      <c r="Y21" s="41"/>
      <c r="Z21" s="41"/>
      <c r="AA21" s="41"/>
      <c r="AB21" s="41"/>
      <c r="AC21" s="41"/>
      <c r="AD21" s="41"/>
      <c r="AE21" s="41"/>
      <c r="AF21" s="41"/>
      <c r="AG21" s="41"/>
      <c r="AH21" s="41"/>
      <c r="AI21" s="41"/>
      <c r="AJ21" s="41"/>
      <c r="AK21" s="41"/>
      <c r="AL21" s="41"/>
      <c r="AM21" s="35"/>
      <c r="AN21" s="35"/>
      <c r="AO21" s="35"/>
      <c r="AP21" s="35"/>
      <c r="AQ21" s="35"/>
      <c r="AR21" s="28"/>
      <c r="AS21" s="36"/>
      <c r="AT21" s="27"/>
      <c r="AU21" s="27"/>
      <c r="AV21" s="39"/>
      <c r="AW21" s="39"/>
      <c r="AX21" s="39"/>
      <c r="AY21" s="39"/>
      <c r="AZ21" s="39"/>
      <c r="BA21" s="39"/>
      <c r="BB21" s="35"/>
      <c r="BC21" s="35"/>
      <c r="BD21" s="39"/>
      <c r="BE21" s="39"/>
      <c r="BF21" s="39"/>
      <c r="BG21" s="39"/>
      <c r="BH21" s="40"/>
      <c r="BI21" s="41"/>
      <c r="BJ21" s="41"/>
      <c r="BK21" s="41"/>
      <c r="BL21" s="41"/>
      <c r="BM21" s="41"/>
      <c r="BN21" s="41"/>
      <c r="BO21" s="41"/>
      <c r="BP21" s="41"/>
      <c r="BQ21" s="41"/>
      <c r="BR21" s="41"/>
      <c r="BS21" s="41"/>
      <c r="BT21" s="41"/>
      <c r="BU21" s="41"/>
      <c r="BV21" s="41"/>
      <c r="BW21" s="41"/>
      <c r="BX21" s="41"/>
      <c r="BY21" s="41"/>
      <c r="BZ21" s="26"/>
      <c r="CA21" s="26"/>
      <c r="CB21" s="26"/>
      <c r="CC21" s="39"/>
      <c r="CD21" s="39"/>
      <c r="CE21" s="39"/>
      <c r="CF21" s="39"/>
      <c r="CG21" s="39"/>
      <c r="CH21" s="39"/>
      <c r="CI21" s="37"/>
      <c r="CJ21" s="34"/>
      <c r="CK21" s="27"/>
      <c r="CL21" s="40"/>
      <c r="CM21" s="27"/>
      <c r="CN21" s="27"/>
      <c r="CO21" s="27"/>
      <c r="CP21" s="27"/>
      <c r="CQ21" s="27"/>
      <c r="CR21" s="27"/>
      <c r="CS21" s="27"/>
      <c r="CT21" s="27"/>
      <c r="CU21" s="26"/>
      <c r="CV21" s="40"/>
      <c r="CW21" s="138"/>
      <c r="CX21" s="39"/>
      <c r="CY21" s="39"/>
      <c r="CZ21" s="39"/>
      <c r="DA21" s="39"/>
      <c r="DB21" s="39"/>
      <c r="DC21" s="39"/>
      <c r="DD21" s="138"/>
      <c r="DE21" s="138"/>
      <c r="DF21" s="39"/>
      <c r="DG21" s="39"/>
      <c r="DH21" s="39"/>
      <c r="DI21" s="39"/>
      <c r="DJ21" s="39"/>
      <c r="DK21" s="39"/>
      <c r="DL21" s="138"/>
      <c r="DM21" s="138"/>
      <c r="DN21" s="244"/>
      <c r="DO21" s="244"/>
      <c r="DP21" s="40"/>
      <c r="DQ21" s="42"/>
      <c r="DR21" s="42"/>
      <c r="DS21" s="42"/>
      <c r="DT21" s="42"/>
      <c r="DU21" s="42"/>
      <c r="DV21" s="42"/>
      <c r="DW21" s="42"/>
      <c r="DX21" s="42"/>
      <c r="DY21" s="43"/>
      <c r="DZ21" s="42"/>
      <c r="EA21" s="42"/>
      <c r="EB21" s="42"/>
      <c r="EC21" s="42"/>
      <c r="ED21" s="42"/>
      <c r="EE21" s="42"/>
      <c r="EF21" s="42"/>
      <c r="EG21" s="42"/>
      <c r="EH21" s="43"/>
      <c r="EI21" s="42"/>
      <c r="EJ21" s="42"/>
      <c r="EK21" s="42"/>
      <c r="EL21" s="42"/>
      <c r="EM21" s="42"/>
      <c r="EN21" s="42"/>
      <c r="EO21" s="42"/>
      <c r="EP21" s="42"/>
      <c r="EQ21" s="43"/>
      <c r="ER21" s="42"/>
      <c r="ES21" s="42"/>
      <c r="ET21" s="42"/>
      <c r="EU21" s="42"/>
      <c r="EV21" s="42"/>
      <c r="EW21" s="42"/>
      <c r="EX21" s="42"/>
      <c r="EY21" s="42"/>
      <c r="EZ21" s="43"/>
      <c r="FA21" s="44"/>
      <c r="FB21" s="42"/>
      <c r="FC21" s="42"/>
      <c r="FD21" s="42"/>
      <c r="FE21" s="42"/>
      <c r="FF21" s="42"/>
      <c r="FG21" s="42"/>
      <c r="FH21" s="42"/>
      <c r="FI21" s="43"/>
      <c r="FJ21" s="406"/>
      <c r="FK21" s="42"/>
      <c r="FL21" s="42"/>
      <c r="FM21" s="42"/>
      <c r="FN21" s="42"/>
      <c r="FO21" s="42"/>
      <c r="FP21" s="42"/>
      <c r="FQ21" s="42"/>
      <c r="FR21" s="45"/>
      <c r="FS21" s="42"/>
      <c r="FT21" s="42"/>
      <c r="FU21" s="42"/>
      <c r="FV21" s="42"/>
      <c r="FW21" s="42"/>
      <c r="FX21" s="42"/>
      <c r="FY21" s="42"/>
      <c r="FZ21" s="42"/>
      <c r="GA21" s="43"/>
      <c r="GB21" s="42"/>
      <c r="GC21" s="42"/>
      <c r="GD21" s="42"/>
      <c r="GE21" s="42"/>
      <c r="GF21" s="42"/>
      <c r="GG21" s="42"/>
      <c r="GH21" s="42"/>
      <c r="GI21" s="42"/>
      <c r="GJ21" s="43"/>
      <c r="GK21" s="43"/>
      <c r="GL21" s="43"/>
      <c r="GM21" s="43"/>
      <c r="GN21" s="43"/>
      <c r="GO21" s="43"/>
      <c r="GP21" s="43"/>
      <c r="GQ21" s="43"/>
      <c r="GR21" s="43"/>
      <c r="GS21" s="43"/>
      <c r="GT21" s="43"/>
      <c r="GU21" s="43"/>
      <c r="GV21" s="43"/>
      <c r="GW21" s="43"/>
      <c r="GX21" s="43"/>
      <c r="GY21" s="43"/>
      <c r="GZ21" s="43"/>
      <c r="HA21" s="43"/>
      <c r="HB21" s="43"/>
      <c r="HC21" s="43"/>
      <c r="HD21" s="43"/>
      <c r="HE21" s="43"/>
      <c r="HF21" s="43"/>
      <c r="HG21" s="43"/>
      <c r="HH21" s="43"/>
      <c r="HI21" s="43"/>
      <c r="HJ21" s="43"/>
      <c r="HK21" s="43"/>
      <c r="HL21" s="43"/>
      <c r="HM21" s="43"/>
      <c r="HN21" s="43"/>
      <c r="HO21" s="43"/>
      <c r="HP21" s="43"/>
      <c r="HQ21" s="43"/>
      <c r="HR21" s="43"/>
      <c r="HS21" s="43"/>
      <c r="HT21" s="43"/>
      <c r="HU21" s="43"/>
      <c r="HV21" s="426"/>
      <c r="HW21" s="39"/>
      <c r="HX21" s="39"/>
      <c r="HY21" s="39"/>
      <c r="HZ21" s="39"/>
      <c r="IA21" s="39"/>
      <c r="IB21" s="39"/>
      <c r="IC21" s="138"/>
      <c r="ID21" s="27"/>
      <c r="IE21" s="39"/>
      <c r="IF21" s="39"/>
      <c r="IG21" s="39"/>
      <c r="IH21" s="39"/>
      <c r="II21" s="39"/>
      <c r="IJ21" s="39"/>
      <c r="IK21" s="39"/>
      <c r="IL21" s="39"/>
      <c r="IM21" s="39"/>
      <c r="IN21" s="38"/>
      <c r="IO21" s="28"/>
      <c r="IP21" s="42"/>
      <c r="IQ21" s="44"/>
      <c r="IR21" s="42"/>
      <c r="IS21" s="42"/>
      <c r="IT21" s="42"/>
      <c r="IU21" s="39"/>
      <c r="IV21" s="39"/>
    </row>
    <row r="22" spans="1:256" s="169" customFormat="1">
      <c r="B22" s="720"/>
      <c r="C22" s="34"/>
      <c r="D22" s="41"/>
      <c r="E22" s="41"/>
      <c r="F22" s="41"/>
      <c r="G22" s="41"/>
      <c r="H22" s="41"/>
      <c r="I22" s="41"/>
      <c r="J22" s="41"/>
      <c r="K22" s="41"/>
      <c r="L22" s="41"/>
      <c r="M22" s="41"/>
      <c r="N22" s="41"/>
      <c r="O22" s="41"/>
      <c r="P22" s="41"/>
      <c r="Q22" s="41"/>
      <c r="R22" s="41"/>
      <c r="S22" s="41"/>
      <c r="T22" s="41"/>
      <c r="U22" s="41"/>
      <c r="V22" s="41"/>
      <c r="W22" s="41"/>
      <c r="X22" s="41"/>
      <c r="Y22" s="41"/>
      <c r="Z22" s="41"/>
      <c r="AA22" s="41"/>
      <c r="AB22" s="41"/>
      <c r="AC22" s="41"/>
      <c r="AD22" s="41"/>
      <c r="AE22" s="41"/>
      <c r="AF22" s="41"/>
      <c r="AG22" s="41"/>
      <c r="AH22" s="41"/>
      <c r="AI22" s="41"/>
      <c r="AJ22" s="41"/>
      <c r="AK22" s="41"/>
      <c r="AL22" s="41"/>
      <c r="AM22" s="35"/>
      <c r="AN22" s="35"/>
      <c r="AO22" s="35"/>
      <c r="AP22" s="35"/>
      <c r="AQ22" s="35"/>
      <c r="AR22" s="28"/>
      <c r="AS22" s="36"/>
      <c r="AT22" s="27"/>
      <c r="AU22" s="27"/>
      <c r="AV22" s="39"/>
      <c r="AW22" s="39"/>
      <c r="AX22" s="39"/>
      <c r="AY22" s="39"/>
      <c r="AZ22" s="39"/>
      <c r="BA22" s="39"/>
      <c r="BB22" s="35"/>
      <c r="BC22" s="35"/>
      <c r="BD22" s="39"/>
      <c r="BE22" s="39"/>
      <c r="BF22" s="39"/>
      <c r="BG22" s="39"/>
      <c r="BH22" s="40"/>
      <c r="BI22" s="41"/>
      <c r="BJ22" s="41"/>
      <c r="BK22" s="41"/>
      <c r="BL22" s="41"/>
      <c r="BM22" s="41"/>
      <c r="BN22" s="41"/>
      <c r="BO22" s="41"/>
      <c r="BP22" s="41"/>
      <c r="BQ22" s="41"/>
      <c r="BR22" s="41"/>
      <c r="BS22" s="41"/>
      <c r="BT22" s="41"/>
      <c r="BU22" s="41"/>
      <c r="BV22" s="41"/>
      <c r="BW22" s="41"/>
      <c r="BX22" s="41"/>
      <c r="BY22" s="41"/>
      <c r="BZ22" s="26"/>
      <c r="CA22" s="26"/>
      <c r="CB22" s="26"/>
      <c r="CC22" s="39"/>
      <c r="CD22" s="39"/>
      <c r="CE22" s="39"/>
      <c r="CF22" s="39"/>
      <c r="CG22" s="39"/>
      <c r="CH22" s="39"/>
      <c r="CI22" s="37"/>
      <c r="CJ22" s="34"/>
      <c r="CK22" s="27"/>
      <c r="CL22" s="40"/>
      <c r="CM22" s="27"/>
      <c r="CN22" s="27"/>
      <c r="CO22" s="27"/>
      <c r="CP22" s="27"/>
      <c r="CQ22" s="27"/>
      <c r="CR22" s="27"/>
      <c r="CS22" s="27"/>
      <c r="CT22" s="27"/>
      <c r="CU22" s="26"/>
      <c r="CV22" s="40"/>
      <c r="CW22" s="138"/>
      <c r="CX22" s="39"/>
      <c r="CY22" s="39"/>
      <c r="CZ22" s="39"/>
      <c r="DA22" s="39"/>
      <c r="DB22" s="39"/>
      <c r="DC22" s="39"/>
      <c r="DD22" s="138"/>
      <c r="DE22" s="138"/>
      <c r="DF22" s="39"/>
      <c r="DG22" s="39"/>
      <c r="DH22" s="39"/>
      <c r="DI22" s="39"/>
      <c r="DJ22" s="39"/>
      <c r="DK22" s="39"/>
      <c r="DL22" s="138"/>
      <c r="DM22" s="138"/>
      <c r="DN22" s="244"/>
      <c r="DO22" s="244"/>
      <c r="DP22" s="40"/>
      <c r="DQ22" s="42"/>
      <c r="DR22" s="42"/>
      <c r="DS22" s="42"/>
      <c r="DT22" s="42"/>
      <c r="DU22" s="42"/>
      <c r="DV22" s="42"/>
      <c r="DW22" s="42"/>
      <c r="DX22" s="42"/>
      <c r="DY22" s="43"/>
      <c r="DZ22" s="42"/>
      <c r="EA22" s="42"/>
      <c r="EB22" s="42"/>
      <c r="EC22" s="42"/>
      <c r="ED22" s="42"/>
      <c r="EE22" s="42"/>
      <c r="EF22" s="42"/>
      <c r="EG22" s="42"/>
      <c r="EH22" s="43"/>
      <c r="EI22" s="42"/>
      <c r="EJ22" s="42"/>
      <c r="EK22" s="42"/>
      <c r="EL22" s="42"/>
      <c r="EM22" s="42"/>
      <c r="EN22" s="42"/>
      <c r="EO22" s="42"/>
      <c r="EP22" s="42"/>
      <c r="EQ22" s="43"/>
      <c r="ER22" s="42"/>
      <c r="ES22" s="42"/>
      <c r="ET22" s="42"/>
      <c r="EU22" s="42"/>
      <c r="EV22" s="42"/>
      <c r="EW22" s="42"/>
      <c r="EX22" s="42"/>
      <c r="EY22" s="42"/>
      <c r="EZ22" s="43"/>
      <c r="FA22" s="44"/>
      <c r="FB22" s="42"/>
      <c r="FC22" s="42"/>
      <c r="FD22" s="42"/>
      <c r="FE22" s="42"/>
      <c r="FF22" s="42"/>
      <c r="FG22" s="42"/>
      <c r="FH22" s="42"/>
      <c r="FI22" s="43"/>
      <c r="FJ22" s="406"/>
      <c r="FK22" s="42"/>
      <c r="FL22" s="42"/>
      <c r="FM22" s="42"/>
      <c r="FN22" s="42"/>
      <c r="FO22" s="42"/>
      <c r="FP22" s="42"/>
      <c r="FQ22" s="42"/>
      <c r="FR22" s="45"/>
      <c r="FS22" s="42"/>
      <c r="FT22" s="42"/>
      <c r="FU22" s="42"/>
      <c r="FV22" s="42"/>
      <c r="FW22" s="42"/>
      <c r="FX22" s="42"/>
      <c r="FY22" s="42"/>
      <c r="FZ22" s="42"/>
      <c r="GA22" s="43"/>
      <c r="GB22" s="42"/>
      <c r="GC22" s="42"/>
      <c r="GD22" s="42"/>
      <c r="GE22" s="42"/>
      <c r="GF22" s="42"/>
      <c r="GG22" s="42"/>
      <c r="GH22" s="42"/>
      <c r="GI22" s="42"/>
      <c r="GJ22" s="43"/>
      <c r="GK22" s="43"/>
      <c r="GL22" s="43"/>
      <c r="GM22" s="43"/>
      <c r="GN22" s="43"/>
      <c r="GO22" s="43"/>
      <c r="GP22" s="43"/>
      <c r="GQ22" s="43"/>
      <c r="GR22" s="43"/>
      <c r="GS22" s="43"/>
      <c r="GT22" s="43"/>
      <c r="GU22" s="43"/>
      <c r="GV22" s="43"/>
      <c r="GW22" s="43"/>
      <c r="GX22" s="43"/>
      <c r="GY22" s="43"/>
      <c r="GZ22" s="43"/>
      <c r="HA22" s="43"/>
      <c r="HB22" s="43"/>
      <c r="HC22" s="43"/>
      <c r="HD22" s="43"/>
      <c r="HE22" s="43"/>
      <c r="HF22" s="43"/>
      <c r="HG22" s="43"/>
      <c r="HH22" s="43"/>
      <c r="HI22" s="43"/>
      <c r="HJ22" s="43"/>
      <c r="HK22" s="43"/>
      <c r="HL22" s="43"/>
      <c r="HM22" s="43"/>
      <c r="HN22" s="43"/>
      <c r="HO22" s="43"/>
      <c r="HP22" s="43"/>
      <c r="HQ22" s="43"/>
      <c r="HR22" s="43"/>
      <c r="HS22" s="43"/>
      <c r="HT22" s="43"/>
      <c r="HU22" s="43"/>
      <c r="HV22" s="426"/>
      <c r="HW22" s="39"/>
      <c r="HX22" s="39"/>
      <c r="HY22" s="39"/>
      <c r="HZ22" s="39"/>
      <c r="IA22" s="39"/>
      <c r="IB22" s="39"/>
      <c r="IC22" s="138"/>
      <c r="ID22" s="27"/>
      <c r="IE22" s="39"/>
      <c r="IF22" s="39"/>
      <c r="IG22" s="39"/>
      <c r="IH22" s="39"/>
      <c r="II22" s="39"/>
      <c r="IJ22" s="39"/>
      <c r="IK22" s="39"/>
      <c r="IL22" s="39"/>
      <c r="IM22" s="39"/>
      <c r="IN22" s="38"/>
      <c r="IO22" s="28"/>
      <c r="IP22" s="42"/>
      <c r="IQ22" s="44"/>
      <c r="IR22" s="42"/>
      <c r="IS22" s="42"/>
      <c r="IT22" s="42"/>
      <c r="IU22" s="39"/>
      <c r="IV22" s="39"/>
    </row>
    <row r="23" spans="1:256" s="169" customFormat="1" ht="16.2" thickBot="1">
      <c r="B23" s="720"/>
      <c r="C23" s="34"/>
      <c r="D23" s="41"/>
      <c r="E23" s="41"/>
      <c r="F23" s="41"/>
      <c r="G23" s="41"/>
      <c r="H23" s="41"/>
      <c r="I23" s="41"/>
      <c r="J23" s="41"/>
      <c r="K23" s="41"/>
      <c r="L23" s="41"/>
      <c r="M23" s="41"/>
      <c r="N23" s="41"/>
      <c r="O23" s="41"/>
      <c r="P23" s="41"/>
      <c r="Q23" s="41"/>
      <c r="R23" s="41"/>
      <c r="S23" s="41"/>
      <c r="T23" s="41"/>
      <c r="U23" s="41"/>
      <c r="V23" s="41"/>
      <c r="W23" s="41"/>
      <c r="X23" s="41"/>
      <c r="Y23" s="41"/>
      <c r="Z23" s="41"/>
      <c r="AA23" s="41"/>
      <c r="AB23" s="41"/>
      <c r="AC23" s="41"/>
      <c r="AD23" s="41"/>
      <c r="AE23" s="41"/>
      <c r="AF23" s="41"/>
      <c r="AG23" s="41"/>
      <c r="AH23" s="41"/>
      <c r="AI23" s="41"/>
      <c r="AJ23" s="41"/>
      <c r="AK23" s="41"/>
      <c r="AL23" s="41"/>
      <c r="AM23" s="50" t="s">
        <v>236</v>
      </c>
      <c r="AN23" s="35"/>
      <c r="AO23" s="35"/>
      <c r="AP23" s="35"/>
      <c r="AQ23" s="35"/>
      <c r="AR23" s="28"/>
      <c r="AS23" s="36"/>
      <c r="AT23" s="27"/>
      <c r="AU23" s="27"/>
      <c r="AV23" s="39"/>
      <c r="AW23" s="39"/>
      <c r="AX23" s="39"/>
      <c r="AY23" s="39"/>
      <c r="AZ23" s="39"/>
      <c r="BA23" s="39"/>
      <c r="BB23" s="35"/>
      <c r="BC23" s="35"/>
      <c r="BD23" s="39"/>
      <c r="BE23" s="39"/>
      <c r="BF23" s="39"/>
      <c r="BG23" s="39"/>
      <c r="BH23" s="40"/>
      <c r="BI23" s="41"/>
      <c r="BJ23" s="41"/>
      <c r="BK23" s="41"/>
      <c r="BL23" s="41"/>
      <c r="BM23" s="41"/>
      <c r="BN23" s="41"/>
      <c r="BO23" s="41"/>
      <c r="BP23" s="41"/>
      <c r="BQ23" s="41"/>
      <c r="BR23" s="41"/>
      <c r="BS23" s="41"/>
      <c r="BT23" s="41"/>
      <c r="BU23" s="41"/>
      <c r="BV23" s="41"/>
      <c r="BW23" s="41"/>
      <c r="BX23" s="41"/>
      <c r="BY23" s="41"/>
      <c r="BZ23" s="49" t="s">
        <v>235</v>
      </c>
      <c r="CA23" s="26"/>
      <c r="CB23" s="26"/>
      <c r="CC23" s="39"/>
      <c r="CD23" s="39"/>
      <c r="CE23" s="39"/>
      <c r="CF23" s="39"/>
      <c r="CG23" s="39"/>
      <c r="CH23" s="39"/>
      <c r="CI23" s="37"/>
      <c r="CJ23" s="34"/>
      <c r="CK23" s="27"/>
      <c r="CL23" s="40"/>
      <c r="CM23" s="27"/>
      <c r="CN23" s="27"/>
      <c r="CO23" s="27"/>
      <c r="CP23" s="27"/>
      <c r="CQ23" s="27"/>
      <c r="CR23" s="27"/>
      <c r="CS23" s="27"/>
      <c r="CT23" s="27"/>
      <c r="CU23" s="26"/>
      <c r="CV23" s="40"/>
      <c r="CW23" s="138"/>
      <c r="CX23" s="39"/>
      <c r="CY23" s="39"/>
      <c r="CZ23" s="39"/>
      <c r="DA23" s="39"/>
      <c r="DB23" s="39"/>
      <c r="DC23" s="39"/>
      <c r="DD23" s="138"/>
      <c r="DE23" s="138"/>
      <c r="DF23" s="39"/>
      <c r="DG23" s="39"/>
      <c r="DH23" s="39"/>
      <c r="DI23" s="39"/>
      <c r="DJ23" s="39"/>
      <c r="DK23" s="39"/>
      <c r="DL23" s="138"/>
      <c r="DM23" s="138"/>
      <c r="DN23" s="244"/>
      <c r="DO23" s="244"/>
      <c r="DP23" s="40"/>
      <c r="DQ23" s="42"/>
      <c r="DR23" s="42"/>
      <c r="DS23" s="42"/>
      <c r="DT23" s="42"/>
      <c r="DU23" s="42"/>
      <c r="DV23" s="42"/>
      <c r="DW23" s="42"/>
      <c r="DX23" s="42"/>
      <c r="DY23" s="43"/>
      <c r="DZ23" s="42"/>
      <c r="EA23" s="42"/>
      <c r="EB23" s="42"/>
      <c r="EC23" s="42"/>
      <c r="ED23" s="42"/>
      <c r="EE23" s="42"/>
      <c r="EF23" s="42"/>
      <c r="EG23" s="42"/>
      <c r="EH23" s="43"/>
      <c r="EI23" s="42"/>
      <c r="EJ23" s="42"/>
      <c r="EK23" s="42"/>
      <c r="EL23" s="42"/>
      <c r="EM23" s="42"/>
      <c r="EN23" s="42"/>
      <c r="EO23" s="42"/>
      <c r="EP23" s="42"/>
      <c r="EQ23" s="43"/>
      <c r="ER23" s="42"/>
      <c r="ES23" s="42"/>
      <c r="ET23" s="42"/>
      <c r="EU23" s="42"/>
      <c r="EV23" s="42"/>
      <c r="EW23" s="42"/>
      <c r="EX23" s="42"/>
      <c r="EY23" s="42"/>
      <c r="EZ23" s="43"/>
      <c r="FA23" s="44"/>
      <c r="FB23" s="42"/>
      <c r="FC23" s="42"/>
      <c r="FD23" s="42"/>
      <c r="FE23" s="42"/>
      <c r="FF23" s="42"/>
      <c r="FG23" s="42"/>
      <c r="FH23" s="42"/>
      <c r="FI23" s="43"/>
      <c r="FJ23" s="406"/>
      <c r="FK23" s="42"/>
      <c r="FL23" s="42"/>
      <c r="FM23" s="42"/>
      <c r="FN23" s="42"/>
      <c r="FO23" s="42"/>
      <c r="FP23" s="42"/>
      <c r="FQ23" s="42"/>
      <c r="FR23" s="45"/>
      <c r="FS23" s="42"/>
      <c r="FT23" s="42"/>
      <c r="FU23" s="42"/>
      <c r="FV23" s="42"/>
      <c r="FW23" s="42"/>
      <c r="FX23" s="42"/>
      <c r="FY23" s="42"/>
      <c r="FZ23" s="42"/>
      <c r="GA23" s="43"/>
      <c r="GB23" s="42"/>
      <c r="GC23" s="42"/>
      <c r="GD23" s="42"/>
      <c r="GE23" s="42"/>
      <c r="GF23" s="42"/>
      <c r="GG23" s="42"/>
      <c r="GH23" s="42"/>
      <c r="GI23" s="42"/>
      <c r="GJ23" s="43"/>
      <c r="GK23" s="43"/>
      <c r="GL23" s="43"/>
      <c r="GM23" s="43"/>
      <c r="GN23" s="43"/>
      <c r="GO23" s="43"/>
      <c r="GP23" s="43"/>
      <c r="GQ23" s="43"/>
      <c r="GR23" s="43"/>
      <c r="GS23" s="43"/>
      <c r="GT23" s="43"/>
      <c r="GU23" s="43"/>
      <c r="GV23" s="43"/>
      <c r="GW23" s="43"/>
      <c r="GX23" s="43"/>
      <c r="GY23" s="43"/>
      <c r="GZ23" s="43"/>
      <c r="HA23" s="43"/>
      <c r="HB23" s="43"/>
      <c r="HC23" s="43"/>
      <c r="HD23" s="43"/>
      <c r="HE23" s="43"/>
      <c r="HF23" s="43"/>
      <c r="HG23" s="43"/>
      <c r="HH23" s="43"/>
      <c r="HI23" s="43"/>
      <c r="HJ23" s="43"/>
      <c r="HK23" s="43"/>
      <c r="HL23" s="43"/>
      <c r="HM23" s="43"/>
      <c r="HN23" s="43"/>
      <c r="HO23" s="43"/>
      <c r="HP23" s="43"/>
      <c r="HQ23" s="43"/>
      <c r="HR23" s="43"/>
      <c r="HS23" s="43"/>
      <c r="HT23" s="43"/>
      <c r="HU23" s="43"/>
      <c r="HV23" s="426"/>
      <c r="HW23" s="39"/>
      <c r="HX23" s="39"/>
      <c r="HY23" s="39" t="s">
        <v>503</v>
      </c>
      <c r="HZ23" s="39"/>
      <c r="IA23" s="39"/>
      <c r="IB23" s="39"/>
      <c r="IC23" s="138"/>
      <c r="ID23" s="27"/>
      <c r="IE23" s="39" t="s">
        <v>502</v>
      </c>
      <c r="IF23" s="39" t="s">
        <v>492</v>
      </c>
      <c r="IG23" s="39"/>
      <c r="IH23" s="39"/>
      <c r="II23" s="39"/>
      <c r="IJ23" s="39"/>
      <c r="IK23" s="39"/>
      <c r="IL23" s="39"/>
      <c r="IM23" s="39"/>
      <c r="IN23" s="38"/>
      <c r="IO23" s="28"/>
      <c r="IP23" s="42"/>
      <c r="IQ23" s="44"/>
      <c r="IR23" s="42"/>
      <c r="IS23" s="42"/>
      <c r="IT23" s="42"/>
      <c r="IU23" s="39"/>
      <c r="IV23" s="39"/>
    </row>
    <row r="24" spans="1:256" s="170" customFormat="1" ht="16.2" thickBot="1">
      <c r="B24" s="720"/>
      <c r="C24" s="407"/>
      <c r="D24" s="48">
        <f t="shared" ref="D24:AL24" si="137">SUM(D11:D20)</f>
        <v>0</v>
      </c>
      <c r="E24" s="48">
        <f t="shared" si="137"/>
        <v>0</v>
      </c>
      <c r="F24" s="48">
        <f t="shared" si="137"/>
        <v>0</v>
      </c>
      <c r="G24" s="48">
        <f t="shared" si="137"/>
        <v>0</v>
      </c>
      <c r="H24" s="48">
        <f t="shared" si="137"/>
        <v>0</v>
      </c>
      <c r="I24" s="48">
        <f t="shared" si="137"/>
        <v>0</v>
      </c>
      <c r="J24" s="48">
        <f t="shared" si="137"/>
        <v>0</v>
      </c>
      <c r="K24" s="48">
        <f t="shared" si="137"/>
        <v>0</v>
      </c>
      <c r="L24" s="48">
        <f t="shared" si="137"/>
        <v>0</v>
      </c>
      <c r="M24" s="48">
        <f t="shared" si="137"/>
        <v>0</v>
      </c>
      <c r="N24" s="48">
        <f t="shared" si="137"/>
        <v>0</v>
      </c>
      <c r="O24" s="48">
        <f t="shared" si="137"/>
        <v>0</v>
      </c>
      <c r="P24" s="48">
        <f t="shared" si="137"/>
        <v>0</v>
      </c>
      <c r="Q24" s="48">
        <f t="shared" si="137"/>
        <v>0</v>
      </c>
      <c r="R24" s="48">
        <f t="shared" si="137"/>
        <v>0</v>
      </c>
      <c r="S24" s="48">
        <f t="shared" si="137"/>
        <v>0</v>
      </c>
      <c r="T24" s="48">
        <f t="shared" si="137"/>
        <v>0</v>
      </c>
      <c r="U24" s="48">
        <f t="shared" si="137"/>
        <v>0</v>
      </c>
      <c r="V24" s="48">
        <f t="shared" si="137"/>
        <v>0</v>
      </c>
      <c r="W24" s="48">
        <f t="shared" si="137"/>
        <v>0</v>
      </c>
      <c r="X24" s="48">
        <f t="shared" si="137"/>
        <v>0</v>
      </c>
      <c r="Y24" s="48">
        <f t="shared" si="137"/>
        <v>0</v>
      </c>
      <c r="Z24" s="48">
        <f t="shared" si="137"/>
        <v>0</v>
      </c>
      <c r="AA24" s="48">
        <f t="shared" si="137"/>
        <v>0</v>
      </c>
      <c r="AB24" s="48">
        <f t="shared" si="137"/>
        <v>0</v>
      </c>
      <c r="AC24" s="48">
        <f t="shared" si="137"/>
        <v>0</v>
      </c>
      <c r="AD24" s="48">
        <f t="shared" si="137"/>
        <v>0</v>
      </c>
      <c r="AE24" s="48">
        <f t="shared" si="137"/>
        <v>0</v>
      </c>
      <c r="AF24" s="48">
        <f t="shared" si="137"/>
        <v>0</v>
      </c>
      <c r="AG24" s="48">
        <f t="shared" si="137"/>
        <v>0</v>
      </c>
      <c r="AH24" s="48">
        <f t="shared" si="137"/>
        <v>0</v>
      </c>
      <c r="AI24" s="48">
        <f t="shared" si="137"/>
        <v>0</v>
      </c>
      <c r="AJ24" s="48">
        <f t="shared" si="137"/>
        <v>0</v>
      </c>
      <c r="AK24" s="48">
        <f t="shared" si="137"/>
        <v>0</v>
      </c>
      <c r="AL24" s="48">
        <f t="shared" si="137"/>
        <v>10</v>
      </c>
      <c r="AM24" s="48" t="str">
        <f>COUNT(D24:AK24)&amp;" Main Agenciess"</f>
        <v>34 Main Agenciess</v>
      </c>
      <c r="AN24" s="48"/>
      <c r="AO24" s="48"/>
      <c r="AP24" s="48"/>
      <c r="AQ24" s="48"/>
      <c r="AR24" s="423"/>
      <c r="AS24" s="46"/>
      <c r="AT24" s="46"/>
      <c r="AU24" s="46" t="str">
        <f>COUNTIF(AU11:AU20,"Administrative")&amp;" - Administrative Proj."</f>
        <v>0 - Administrative Proj.</v>
      </c>
      <c r="AV24" s="48">
        <f t="shared" ref="AV24:BA24" si="138">SUM(AV11:AV20)</f>
        <v>0</v>
      </c>
      <c r="AW24" s="48">
        <f t="shared" si="138"/>
        <v>0</v>
      </c>
      <c r="AX24" s="48">
        <f t="shared" si="138"/>
        <v>0</v>
      </c>
      <c r="AY24" s="48">
        <f t="shared" si="138"/>
        <v>0</v>
      </c>
      <c r="AZ24" s="48">
        <f t="shared" si="138"/>
        <v>0</v>
      </c>
      <c r="BA24" s="48">
        <f t="shared" si="138"/>
        <v>10</v>
      </c>
      <c r="BB24" s="48">
        <f>SUM(AV24:BA24)</f>
        <v>10</v>
      </c>
      <c r="BC24" s="48"/>
      <c r="BD24" s="48">
        <f>SUM(BD11:BD20)</f>
        <v>0</v>
      </c>
      <c r="BE24" s="48">
        <f>SUM(BE11:BE20)</f>
        <v>0</v>
      </c>
      <c r="BF24" s="48">
        <f>SUM(BF11:BF20)</f>
        <v>0</v>
      </c>
      <c r="BG24" s="48">
        <f>SUM(BG11:BG20)</f>
        <v>10</v>
      </c>
      <c r="BH24" s="46">
        <f>SUM(BD24:BG24)</f>
        <v>10</v>
      </c>
      <c r="BI24" s="48">
        <f t="shared" ref="BI24:BY24" si="139">SUM(BI11:BI20)</f>
        <v>0</v>
      </c>
      <c r="BJ24" s="48">
        <f t="shared" si="139"/>
        <v>0</v>
      </c>
      <c r="BK24" s="48">
        <f t="shared" si="139"/>
        <v>0</v>
      </c>
      <c r="BL24" s="48">
        <f t="shared" si="139"/>
        <v>0</v>
      </c>
      <c r="BM24" s="48">
        <f t="shared" si="139"/>
        <v>0</v>
      </c>
      <c r="BN24" s="48">
        <f t="shared" si="139"/>
        <v>0</v>
      </c>
      <c r="BO24" s="48">
        <f t="shared" si="139"/>
        <v>0</v>
      </c>
      <c r="BP24" s="48">
        <f t="shared" si="139"/>
        <v>0</v>
      </c>
      <c r="BQ24" s="48">
        <f t="shared" si="139"/>
        <v>0</v>
      </c>
      <c r="BR24" s="48">
        <f t="shared" si="139"/>
        <v>0</v>
      </c>
      <c r="BS24" s="48">
        <f t="shared" si="139"/>
        <v>0</v>
      </c>
      <c r="BT24" s="48">
        <f t="shared" si="139"/>
        <v>0</v>
      </c>
      <c r="BU24" s="48">
        <f t="shared" si="139"/>
        <v>0</v>
      </c>
      <c r="BV24" s="48">
        <f t="shared" si="139"/>
        <v>0</v>
      </c>
      <c r="BW24" s="48">
        <f t="shared" si="139"/>
        <v>0</v>
      </c>
      <c r="BX24" s="48">
        <f t="shared" si="139"/>
        <v>0</v>
      </c>
      <c r="BY24" s="48">
        <f t="shared" si="139"/>
        <v>0</v>
      </c>
      <c r="BZ24" s="46">
        <f>SUM(BI24:BY24)</f>
        <v>0</v>
      </c>
      <c r="CA24" s="46"/>
      <c r="CB24" s="46"/>
      <c r="CC24" s="171">
        <f t="shared" ref="CC24:CH24" si="140">SUM(CC11:CC20)</f>
        <v>0</v>
      </c>
      <c r="CD24" s="171">
        <f t="shared" si="140"/>
        <v>0</v>
      </c>
      <c r="CE24" s="171">
        <f t="shared" si="140"/>
        <v>0</v>
      </c>
      <c r="CF24" s="171">
        <f t="shared" si="140"/>
        <v>0</v>
      </c>
      <c r="CG24" s="171">
        <f t="shared" si="140"/>
        <v>0</v>
      </c>
      <c r="CH24" s="171">
        <f t="shared" si="140"/>
        <v>0</v>
      </c>
      <c r="CI24" s="171">
        <f>SUM(CC24:CH24)</f>
        <v>0</v>
      </c>
      <c r="CJ24" s="48"/>
      <c r="CK24" s="46"/>
      <c r="CL24" s="46"/>
      <c r="CM24" s="46">
        <f>COUNTIF(CM11:CM20, "Yes")</f>
        <v>0</v>
      </c>
      <c r="CN24" s="172">
        <f>SUM(CN11:CN20)</f>
        <v>0</v>
      </c>
      <c r="CO24" s="172"/>
      <c r="CP24" s="172">
        <f>SUM(CP11:CP20)</f>
        <v>0</v>
      </c>
      <c r="CQ24" s="172">
        <f>SUM(CQ11:CQ20)</f>
        <v>0</v>
      </c>
      <c r="CR24" s="172">
        <f>SUM(CR11:CR20)</f>
        <v>0</v>
      </c>
      <c r="CS24" s="172">
        <f>COUNT(CS11:CS20)</f>
        <v>0</v>
      </c>
      <c r="CT24" s="172"/>
      <c r="CU24" s="46"/>
      <c r="CV24" s="46"/>
      <c r="CW24" s="48">
        <f t="shared" ref="CW24:DC24" si="141">SUM(CW11:CW20)</f>
        <v>0</v>
      </c>
      <c r="CX24" s="48">
        <f t="shared" si="141"/>
        <v>0</v>
      </c>
      <c r="CY24" s="48">
        <f t="shared" si="141"/>
        <v>0</v>
      </c>
      <c r="CZ24" s="48">
        <f t="shared" si="141"/>
        <v>0</v>
      </c>
      <c r="DA24" s="48">
        <f t="shared" si="141"/>
        <v>0</v>
      </c>
      <c r="DB24" s="48">
        <f t="shared" si="141"/>
        <v>0</v>
      </c>
      <c r="DC24" s="48">
        <f t="shared" si="141"/>
        <v>10</v>
      </c>
      <c r="DD24" s="48"/>
      <c r="DE24" s="171">
        <f t="shared" ref="DE24:DK24" si="142">SUM(DE11:DE20)</f>
        <v>0</v>
      </c>
      <c r="DF24" s="171">
        <f t="shared" si="142"/>
        <v>0</v>
      </c>
      <c r="DG24" s="171">
        <f t="shared" si="142"/>
        <v>0</v>
      </c>
      <c r="DH24" s="171">
        <f t="shared" si="142"/>
        <v>0</v>
      </c>
      <c r="DI24" s="171">
        <f t="shared" si="142"/>
        <v>0</v>
      </c>
      <c r="DJ24" s="171">
        <f t="shared" si="142"/>
        <v>0</v>
      </c>
      <c r="DK24" s="171">
        <f t="shared" si="142"/>
        <v>10</v>
      </c>
      <c r="DL24" s="172">
        <f>SUM(DE24:DK24)</f>
        <v>10</v>
      </c>
      <c r="DM24" s="48"/>
      <c r="DN24" s="242"/>
      <c r="DO24" s="242">
        <f>COUNTIF(DO11:DO20, "Yes")</f>
        <v>0</v>
      </c>
      <c r="DP24" s="47"/>
      <c r="DQ24" s="172">
        <f t="shared" ref="DQ24:DY24" si="143">SUM(DQ11:DQ20)</f>
        <v>0</v>
      </c>
      <c r="DR24" s="172">
        <f t="shared" si="143"/>
        <v>0</v>
      </c>
      <c r="DS24" s="172">
        <f t="shared" si="143"/>
        <v>0</v>
      </c>
      <c r="DT24" s="172">
        <f t="shared" si="143"/>
        <v>0</v>
      </c>
      <c r="DU24" s="172">
        <f t="shared" si="143"/>
        <v>0</v>
      </c>
      <c r="DV24" s="172">
        <f t="shared" si="143"/>
        <v>0</v>
      </c>
      <c r="DW24" s="172">
        <f t="shared" si="143"/>
        <v>0</v>
      </c>
      <c r="DX24" s="172">
        <f t="shared" si="143"/>
        <v>0</v>
      </c>
      <c r="DY24" s="173">
        <f t="shared" si="143"/>
        <v>0</v>
      </c>
      <c r="DZ24" s="172">
        <f t="shared" ref="DZ24:EH24" si="144">SUM(DZ11:DZ20)</f>
        <v>0</v>
      </c>
      <c r="EA24" s="172">
        <f t="shared" si="144"/>
        <v>0</v>
      </c>
      <c r="EB24" s="172">
        <f t="shared" si="144"/>
        <v>0</v>
      </c>
      <c r="EC24" s="172">
        <f t="shared" si="144"/>
        <v>0</v>
      </c>
      <c r="ED24" s="172">
        <f t="shared" si="144"/>
        <v>0</v>
      </c>
      <c r="EE24" s="172">
        <f t="shared" si="144"/>
        <v>0</v>
      </c>
      <c r="EF24" s="172">
        <f t="shared" si="144"/>
        <v>0</v>
      </c>
      <c r="EG24" s="172">
        <f t="shared" si="144"/>
        <v>0</v>
      </c>
      <c r="EH24" s="173">
        <f t="shared" si="144"/>
        <v>0</v>
      </c>
      <c r="EI24" s="172">
        <f t="shared" ref="EI24:FN24" si="145">SUM(EI11:EI20)</f>
        <v>0</v>
      </c>
      <c r="EJ24" s="172">
        <f t="shared" si="145"/>
        <v>0</v>
      </c>
      <c r="EK24" s="172">
        <f t="shared" si="145"/>
        <v>0</v>
      </c>
      <c r="EL24" s="172">
        <f t="shared" si="145"/>
        <v>0</v>
      </c>
      <c r="EM24" s="172">
        <f t="shared" si="145"/>
        <v>0</v>
      </c>
      <c r="EN24" s="172">
        <f t="shared" si="145"/>
        <v>0</v>
      </c>
      <c r="EO24" s="172">
        <f t="shared" si="145"/>
        <v>0</v>
      </c>
      <c r="EP24" s="172">
        <f t="shared" si="145"/>
        <v>0</v>
      </c>
      <c r="EQ24" s="173">
        <f t="shared" si="145"/>
        <v>0</v>
      </c>
      <c r="ER24" s="172">
        <f t="shared" si="145"/>
        <v>0</v>
      </c>
      <c r="ES24" s="172">
        <f t="shared" si="145"/>
        <v>0</v>
      </c>
      <c r="ET24" s="172">
        <f t="shared" si="145"/>
        <v>0</v>
      </c>
      <c r="EU24" s="172">
        <f t="shared" si="145"/>
        <v>0</v>
      </c>
      <c r="EV24" s="172">
        <f t="shared" si="145"/>
        <v>0</v>
      </c>
      <c r="EW24" s="172">
        <f t="shared" si="145"/>
        <v>0</v>
      </c>
      <c r="EX24" s="172">
        <f t="shared" si="145"/>
        <v>0</v>
      </c>
      <c r="EY24" s="172">
        <f t="shared" si="145"/>
        <v>0</v>
      </c>
      <c r="EZ24" s="173">
        <f t="shared" si="145"/>
        <v>0</v>
      </c>
      <c r="FA24" s="172">
        <f t="shared" si="145"/>
        <v>0</v>
      </c>
      <c r="FB24" s="172">
        <f t="shared" si="145"/>
        <v>0</v>
      </c>
      <c r="FC24" s="172">
        <f t="shared" si="145"/>
        <v>0</v>
      </c>
      <c r="FD24" s="172">
        <f t="shared" si="145"/>
        <v>0</v>
      </c>
      <c r="FE24" s="172">
        <f t="shared" si="145"/>
        <v>0</v>
      </c>
      <c r="FF24" s="172">
        <f t="shared" si="145"/>
        <v>0</v>
      </c>
      <c r="FG24" s="172">
        <f t="shared" si="145"/>
        <v>0</v>
      </c>
      <c r="FH24" s="172">
        <f t="shared" si="145"/>
        <v>0</v>
      </c>
      <c r="FI24" s="173">
        <f t="shared" si="145"/>
        <v>0</v>
      </c>
      <c r="FJ24" s="172">
        <f t="shared" si="145"/>
        <v>0</v>
      </c>
      <c r="FK24" s="172">
        <f t="shared" si="145"/>
        <v>0</v>
      </c>
      <c r="FL24" s="172">
        <f t="shared" si="145"/>
        <v>0</v>
      </c>
      <c r="FM24" s="172">
        <f t="shared" si="145"/>
        <v>0</v>
      </c>
      <c r="FN24" s="172">
        <f t="shared" si="145"/>
        <v>0</v>
      </c>
      <c r="FO24" s="172">
        <f t="shared" ref="FO24:HC24" si="146">SUM(FO11:FO20)</f>
        <v>0</v>
      </c>
      <c r="FP24" s="172">
        <f t="shared" si="146"/>
        <v>0</v>
      </c>
      <c r="FQ24" s="172">
        <f t="shared" si="146"/>
        <v>0</v>
      </c>
      <c r="FR24" s="173">
        <f t="shared" si="146"/>
        <v>0</v>
      </c>
      <c r="FS24" s="172">
        <f t="shared" ref="FS24:GA24" si="147">SUM(FS11:FS20)</f>
        <v>0</v>
      </c>
      <c r="FT24" s="172">
        <f t="shared" si="147"/>
        <v>0</v>
      </c>
      <c r="FU24" s="172">
        <f t="shared" si="147"/>
        <v>0</v>
      </c>
      <c r="FV24" s="172">
        <f t="shared" si="147"/>
        <v>0</v>
      </c>
      <c r="FW24" s="172">
        <f t="shared" si="147"/>
        <v>0</v>
      </c>
      <c r="FX24" s="172">
        <f t="shared" si="147"/>
        <v>0</v>
      </c>
      <c r="FY24" s="172">
        <f t="shared" si="147"/>
        <v>0</v>
      </c>
      <c r="FZ24" s="172">
        <f t="shared" si="147"/>
        <v>0</v>
      </c>
      <c r="GA24" s="173">
        <f t="shared" si="147"/>
        <v>0</v>
      </c>
      <c r="GB24" s="172">
        <f t="shared" si="146"/>
        <v>0</v>
      </c>
      <c r="GC24" s="172">
        <f t="shared" si="146"/>
        <v>0</v>
      </c>
      <c r="GD24" s="172">
        <f t="shared" si="146"/>
        <v>0</v>
      </c>
      <c r="GE24" s="172">
        <f t="shared" si="146"/>
        <v>0</v>
      </c>
      <c r="GF24" s="172">
        <f t="shared" si="146"/>
        <v>0</v>
      </c>
      <c r="GG24" s="172">
        <f t="shared" si="146"/>
        <v>0</v>
      </c>
      <c r="GH24" s="172">
        <f t="shared" si="146"/>
        <v>0</v>
      </c>
      <c r="GI24" s="172">
        <f t="shared" si="146"/>
        <v>0</v>
      </c>
      <c r="GJ24" s="173">
        <f t="shared" si="146"/>
        <v>0</v>
      </c>
      <c r="GK24" s="172">
        <f t="shared" si="146"/>
        <v>0</v>
      </c>
      <c r="GL24" s="172">
        <f t="shared" si="146"/>
        <v>0</v>
      </c>
      <c r="GM24" s="172">
        <f t="shared" si="146"/>
        <v>0</v>
      </c>
      <c r="GN24" s="172">
        <f t="shared" si="146"/>
        <v>0</v>
      </c>
      <c r="GO24" s="172">
        <f t="shared" si="146"/>
        <v>0</v>
      </c>
      <c r="GP24" s="172">
        <f t="shared" si="146"/>
        <v>0</v>
      </c>
      <c r="GQ24" s="172">
        <f t="shared" si="146"/>
        <v>0</v>
      </c>
      <c r="GR24" s="172">
        <f t="shared" si="146"/>
        <v>0</v>
      </c>
      <c r="GS24" s="173">
        <f t="shared" si="146"/>
        <v>0</v>
      </c>
      <c r="GT24" s="172">
        <f t="shared" si="146"/>
        <v>0</v>
      </c>
      <c r="GU24" s="172">
        <f t="shared" si="146"/>
        <v>0</v>
      </c>
      <c r="GV24" s="172">
        <f t="shared" si="146"/>
        <v>0</v>
      </c>
      <c r="GW24" s="172">
        <f t="shared" si="146"/>
        <v>0</v>
      </c>
      <c r="GX24" s="172">
        <f t="shared" si="146"/>
        <v>0</v>
      </c>
      <c r="GY24" s="172">
        <f t="shared" si="146"/>
        <v>0</v>
      </c>
      <c r="GZ24" s="172">
        <f t="shared" si="146"/>
        <v>0</v>
      </c>
      <c r="HA24" s="172">
        <f t="shared" si="146"/>
        <v>0</v>
      </c>
      <c r="HB24" s="173">
        <f t="shared" si="146"/>
        <v>0</v>
      </c>
      <c r="HC24" s="172">
        <f t="shared" si="146"/>
        <v>0</v>
      </c>
      <c r="HD24" s="172">
        <f t="shared" ref="HD24:HT24" si="148">SUM(HD11:HD20)</f>
        <v>0</v>
      </c>
      <c r="HE24" s="172">
        <f t="shared" si="148"/>
        <v>0</v>
      </c>
      <c r="HF24" s="172">
        <f t="shared" si="148"/>
        <v>0</v>
      </c>
      <c r="HG24" s="172">
        <f t="shared" si="148"/>
        <v>0</v>
      </c>
      <c r="HH24" s="172">
        <f t="shared" si="148"/>
        <v>0</v>
      </c>
      <c r="HI24" s="172">
        <f t="shared" si="148"/>
        <v>0</v>
      </c>
      <c r="HJ24" s="172">
        <f t="shared" si="148"/>
        <v>0</v>
      </c>
      <c r="HK24" s="173">
        <f t="shared" si="148"/>
        <v>0</v>
      </c>
      <c r="HL24" s="172">
        <f t="shared" si="148"/>
        <v>0</v>
      </c>
      <c r="HM24" s="172">
        <f t="shared" si="148"/>
        <v>0</v>
      </c>
      <c r="HN24" s="172">
        <f t="shared" si="148"/>
        <v>0</v>
      </c>
      <c r="HO24" s="172">
        <f t="shared" si="148"/>
        <v>0</v>
      </c>
      <c r="HP24" s="172">
        <f t="shared" si="148"/>
        <v>0</v>
      </c>
      <c r="HQ24" s="172">
        <f t="shared" si="148"/>
        <v>0</v>
      </c>
      <c r="HR24" s="172">
        <f t="shared" si="148"/>
        <v>0</v>
      </c>
      <c r="HS24" s="172">
        <f t="shared" si="148"/>
        <v>0</v>
      </c>
      <c r="HT24" s="173">
        <f t="shared" si="148"/>
        <v>0</v>
      </c>
      <c r="HU24" s="173"/>
      <c r="HV24" s="171"/>
      <c r="HW24" s="171">
        <f t="shared" ref="HW24:IC24" si="149">SUM(HW11:HW20)</f>
        <v>0</v>
      </c>
      <c r="HX24" s="171">
        <f t="shared" si="149"/>
        <v>0</v>
      </c>
      <c r="HY24" s="48">
        <f t="shared" si="149"/>
        <v>0</v>
      </c>
      <c r="HZ24" s="171">
        <f t="shared" si="149"/>
        <v>0</v>
      </c>
      <c r="IA24" s="171">
        <f t="shared" si="149"/>
        <v>0</v>
      </c>
      <c r="IB24" s="171">
        <f t="shared" si="149"/>
        <v>0</v>
      </c>
      <c r="IC24" s="48">
        <f t="shared" si="149"/>
        <v>0</v>
      </c>
      <c r="ID24" s="48" t="str">
        <f>COUNT(ID11:ID20)&amp;" Projects"</f>
        <v>0 Projects</v>
      </c>
      <c r="IE24" s="48">
        <f t="shared" ref="IE24:IL24" si="150">SUM(IE11:IE20)</f>
        <v>0</v>
      </c>
      <c r="IF24" s="171">
        <f t="shared" si="150"/>
        <v>0</v>
      </c>
      <c r="IG24" s="171">
        <f t="shared" si="150"/>
        <v>0</v>
      </c>
      <c r="IH24" s="171">
        <f t="shared" si="150"/>
        <v>0</v>
      </c>
      <c r="II24" s="171">
        <f t="shared" si="150"/>
        <v>0</v>
      </c>
      <c r="IJ24" s="171">
        <f t="shared" si="150"/>
        <v>0</v>
      </c>
      <c r="IK24" s="171">
        <f t="shared" si="150"/>
        <v>0</v>
      </c>
      <c r="IL24" s="171">
        <f t="shared" si="150"/>
        <v>0</v>
      </c>
      <c r="IM24" s="171"/>
      <c r="IN24" s="48"/>
      <c r="IO24" s="46"/>
      <c r="IP24" s="46"/>
      <c r="IQ24" s="175"/>
      <c r="IR24" s="176"/>
      <c r="IS24" s="174"/>
      <c r="IT24" s="177">
        <f t="shared" ref="IT24:IV24" si="151">SUM(IT11:IT20)</f>
        <v>0</v>
      </c>
      <c r="IU24" s="171" t="e">
        <f t="shared" si="151"/>
        <v>#REF!</v>
      </c>
      <c r="IV24" s="171" t="e">
        <f t="shared" si="151"/>
        <v>#REF!</v>
      </c>
    </row>
    <row r="25" spans="1:256" s="169" customFormat="1" hidden="1">
      <c r="B25" s="717"/>
      <c r="C25" s="408"/>
      <c r="D25" s="8"/>
      <c r="E25" s="8"/>
      <c r="F25" s="8"/>
      <c r="G25" s="8"/>
      <c r="H25" s="8"/>
      <c r="I25" s="8"/>
      <c r="J25" s="8"/>
      <c r="K25" s="8"/>
      <c r="L25" s="8"/>
      <c r="M25" s="8"/>
      <c r="N25" s="8"/>
      <c r="O25" s="8"/>
      <c r="P25" s="8"/>
      <c r="Q25" s="8"/>
      <c r="R25" s="8"/>
      <c r="S25" s="8"/>
      <c r="T25" s="8"/>
      <c r="U25" s="8"/>
      <c r="V25" s="8"/>
      <c r="W25" s="8"/>
      <c r="X25" s="8"/>
      <c r="Y25" s="8"/>
      <c r="Z25" s="8"/>
      <c r="AA25" s="8"/>
      <c r="AB25" s="8"/>
      <c r="AC25" s="8"/>
      <c r="AD25" s="8"/>
      <c r="AE25" s="8"/>
      <c r="AF25" s="8"/>
      <c r="AG25" s="8"/>
      <c r="AH25" s="8"/>
      <c r="AI25" s="8"/>
      <c r="AJ25" s="8"/>
      <c r="AK25" s="8"/>
      <c r="AL25" s="8"/>
      <c r="AM25" s="30">
        <f>SUM(D24:AL24)</f>
        <v>10</v>
      </c>
      <c r="AN25" s="4"/>
      <c r="AO25" s="4"/>
      <c r="AP25" s="4"/>
      <c r="AQ25" s="4"/>
      <c r="AR25" s="424"/>
      <c r="AS25" s="6"/>
      <c r="AT25" s="178"/>
      <c r="AU25" s="178"/>
      <c r="AV25" s="4"/>
      <c r="AW25" s="4"/>
      <c r="AX25" s="4"/>
      <c r="AY25" s="4"/>
      <c r="AZ25" s="4"/>
      <c r="BA25" s="4"/>
      <c r="BB25" s="30" t="str">
        <f>"Should be: "&amp;$AM$3</f>
        <v>Should be: 10</v>
      </c>
      <c r="BC25" s="30"/>
      <c r="BD25" s="4"/>
      <c r="BE25" s="4"/>
      <c r="BF25" s="4"/>
      <c r="BG25" s="4"/>
      <c r="BH25" s="8"/>
      <c r="BI25" s="8"/>
      <c r="BJ25" s="8"/>
      <c r="BK25" s="8"/>
      <c r="BL25" s="8"/>
      <c r="BM25" s="8"/>
      <c r="BN25" s="8"/>
      <c r="BO25" s="8"/>
      <c r="BP25" s="8"/>
      <c r="BQ25" s="8"/>
      <c r="BR25" s="8"/>
      <c r="BS25" s="8"/>
      <c r="BT25" s="8"/>
      <c r="BU25" s="8"/>
      <c r="BV25" s="8"/>
      <c r="BW25" s="8"/>
      <c r="BX25" s="8"/>
      <c r="BY25" s="8"/>
      <c r="BZ25" s="8" t="str">
        <f>"Should be: "&amp;COUNTIF(BH11:BH20, "Region-Specific")</f>
        <v>Should be: 0</v>
      </c>
      <c r="CA25" s="6"/>
      <c r="CB25" s="8"/>
      <c r="CC25" s="4">
        <f t="shared" ref="CC25:CH25" si="152">COUNT(CC11:CC20)</f>
        <v>0</v>
      </c>
      <c r="CD25" s="4">
        <f t="shared" si="152"/>
        <v>0</v>
      </c>
      <c r="CE25" s="4">
        <f t="shared" si="152"/>
        <v>0</v>
      </c>
      <c r="CF25" s="4">
        <f t="shared" si="152"/>
        <v>0</v>
      </c>
      <c r="CG25" s="4">
        <f t="shared" si="152"/>
        <v>0</v>
      </c>
      <c r="CH25" s="4">
        <f t="shared" si="152"/>
        <v>0</v>
      </c>
      <c r="CI25" s="4">
        <f>SUM(CC25:CH25)</f>
        <v>0</v>
      </c>
      <c r="CJ25" s="4"/>
      <c r="CK25" s="178"/>
      <c r="CL25" s="8"/>
      <c r="CM25" s="180">
        <f>CM24/AM3</f>
        <v>0</v>
      </c>
      <c r="CN25" s="179" t="e">
        <f>CN24/AM2</f>
        <v>#DIV/0!</v>
      </c>
      <c r="CO25" s="179" t="e">
        <f>CO24/AM2</f>
        <v>#DIV/0!</v>
      </c>
      <c r="CP25" s="181">
        <f>COUNT(CP11:CP20)</f>
        <v>0</v>
      </c>
      <c r="CQ25" s="181">
        <f>COUNT(CQ11:CQ20)</f>
        <v>0</v>
      </c>
      <c r="CR25" s="181">
        <f>COUNT(CR11:CR20)</f>
        <v>0</v>
      </c>
      <c r="CS25" s="181"/>
      <c r="CT25" s="179"/>
      <c r="CU25" s="8"/>
      <c r="CV25" s="8"/>
      <c r="CW25" s="30"/>
      <c r="CX25" s="4"/>
      <c r="CY25" s="4"/>
      <c r="CZ25" s="4"/>
      <c r="DA25" s="4"/>
      <c r="DB25" s="4"/>
      <c r="DC25" s="4"/>
      <c r="DD25" s="30"/>
      <c r="DE25" s="183">
        <v>25609430.48</v>
      </c>
      <c r="DF25" s="182">
        <v>116075365.15633333</v>
      </c>
      <c r="DG25" s="182">
        <v>250089175.20657665</v>
      </c>
      <c r="DH25" s="182">
        <v>582748986.31479597</v>
      </c>
      <c r="DI25" s="182">
        <v>3383193979.7131786</v>
      </c>
      <c r="DJ25" s="182">
        <v>312361083.88699996</v>
      </c>
      <c r="DK25" s="182">
        <v>0</v>
      </c>
      <c r="DL25" s="184">
        <f>SUM(DE25:DK25)</f>
        <v>4670078020.757885</v>
      </c>
      <c r="DM25" s="30"/>
      <c r="DN25" s="30"/>
      <c r="DO25" s="30"/>
      <c r="DP25" s="9"/>
      <c r="DQ25" s="178"/>
      <c r="DR25" s="178"/>
      <c r="DS25" s="178"/>
      <c r="DT25" s="178"/>
      <c r="DU25" s="178"/>
      <c r="DV25" s="178"/>
      <c r="DW25" s="178"/>
      <c r="DX25" s="178"/>
      <c r="DY25" s="185">
        <f>SUM(DQ24:DX24)</f>
        <v>0</v>
      </c>
      <c r="DZ25" s="178"/>
      <c r="EA25" s="178"/>
      <c r="EB25" s="178"/>
      <c r="EC25" s="178"/>
      <c r="ED25" s="178"/>
      <c r="EE25" s="178"/>
      <c r="EF25" s="178"/>
      <c r="EG25" s="178"/>
      <c r="EH25" s="185">
        <f>SUM(DZ24:EG24)</f>
        <v>0</v>
      </c>
      <c r="EI25" s="178"/>
      <c r="EJ25" s="178"/>
      <c r="EK25" s="178"/>
      <c r="EL25" s="178"/>
      <c r="EM25" s="178"/>
      <c r="EN25" s="178"/>
      <c r="EO25" s="178"/>
      <c r="EP25" s="178"/>
      <c r="EQ25" s="185">
        <f>SUM(EI24:EP24)</f>
        <v>0</v>
      </c>
      <c r="ER25" s="178"/>
      <c r="ES25" s="178"/>
      <c r="ET25" s="178"/>
      <c r="EU25" s="178"/>
      <c r="EV25" s="178"/>
      <c r="EW25" s="178"/>
      <c r="EX25" s="178"/>
      <c r="EY25" s="178"/>
      <c r="EZ25" s="185">
        <f>SUM(ER24:EY24)</f>
        <v>0</v>
      </c>
      <c r="FA25" s="186"/>
      <c r="FB25" s="178"/>
      <c r="FC25" s="178"/>
      <c r="FD25" s="178"/>
      <c r="FE25" s="178"/>
      <c r="FF25" s="178"/>
      <c r="FG25" s="178"/>
      <c r="FH25" s="178"/>
      <c r="FI25" s="185">
        <f>SUM(FA24:FH24)</f>
        <v>0</v>
      </c>
      <c r="FJ25" s="189"/>
      <c r="FK25" s="178"/>
      <c r="FL25" s="178"/>
      <c r="FM25" s="178"/>
      <c r="FN25" s="178"/>
      <c r="FO25" s="178"/>
      <c r="FP25" s="178"/>
      <c r="FQ25" s="178"/>
      <c r="FR25" s="185">
        <f>SUM(FJ24:FQ24)</f>
        <v>0</v>
      </c>
      <c r="FS25" s="178"/>
      <c r="FT25" s="178"/>
      <c r="FU25" s="178"/>
      <c r="FV25" s="178"/>
      <c r="FW25" s="178"/>
      <c r="FX25" s="178"/>
      <c r="FY25" s="178"/>
      <c r="FZ25" s="178"/>
      <c r="GA25" s="185">
        <f>SUM(FS24:FZ24)</f>
        <v>0</v>
      </c>
      <c r="GB25" s="178"/>
      <c r="GC25" s="178"/>
      <c r="GD25" s="178"/>
      <c r="GE25" s="178"/>
      <c r="GF25" s="178"/>
      <c r="GG25" s="178"/>
      <c r="GH25" s="178"/>
      <c r="GI25" s="178"/>
      <c r="GJ25" s="185">
        <f>SUM(GB24:GI24)</f>
        <v>0</v>
      </c>
      <c r="GK25" s="178"/>
      <c r="GL25" s="178"/>
      <c r="GM25" s="178"/>
      <c r="GN25" s="178"/>
      <c r="GO25" s="178"/>
      <c r="GP25" s="178"/>
      <c r="GQ25" s="178"/>
      <c r="GR25" s="178"/>
      <c r="GS25" s="185">
        <f>SUM(GK24:GR24)</f>
        <v>0</v>
      </c>
      <c r="GT25" s="178"/>
      <c r="GU25" s="178"/>
      <c r="GV25" s="178"/>
      <c r="GW25" s="178"/>
      <c r="GX25" s="178"/>
      <c r="GY25" s="178"/>
      <c r="GZ25" s="178"/>
      <c r="HA25" s="178"/>
      <c r="HB25" s="185">
        <f>SUM(GT24:HA24)</f>
        <v>0</v>
      </c>
      <c r="HC25" s="187"/>
      <c r="HD25" s="187"/>
      <c r="HE25" s="187"/>
      <c r="HF25" s="187"/>
      <c r="HG25" s="187"/>
      <c r="HH25" s="187"/>
      <c r="HI25" s="187"/>
      <c r="HJ25" s="187"/>
      <c r="HK25" s="185">
        <f>SUM(HC24:HJ24)</f>
        <v>0</v>
      </c>
      <c r="HL25" s="187"/>
      <c r="HM25" s="187"/>
      <c r="HN25" s="187"/>
      <c r="HO25" s="187"/>
      <c r="HP25" s="187"/>
      <c r="HQ25" s="187"/>
      <c r="HR25" s="187"/>
      <c r="HS25" s="187"/>
      <c r="HT25" s="185">
        <f>EQ24+EZ24+FI24+FR24+GJ24+HK24</f>
        <v>0</v>
      </c>
      <c r="HU25" s="185"/>
      <c r="HV25" s="183"/>
      <c r="HW25" s="4">
        <f>COUNT(HW11:HW20)</f>
        <v>0</v>
      </c>
      <c r="HX25" s="4">
        <f>COUNT(HX11:HX20)</f>
        <v>0</v>
      </c>
      <c r="HY25" s="30">
        <f>SUM(HW25:HX25)</f>
        <v>0</v>
      </c>
      <c r="HZ25" s="4">
        <f>COUNT(HZ11:HZ20)</f>
        <v>0</v>
      </c>
      <c r="IA25" s="4">
        <f>COUNT(IA11:IA20)</f>
        <v>0</v>
      </c>
      <c r="IB25" s="4">
        <f>COUNT(IB11:IB20)</f>
        <v>0</v>
      </c>
      <c r="IC25" s="30">
        <f>SUM(HZ25:IB25)</f>
        <v>0</v>
      </c>
      <c r="ID25" s="179"/>
      <c r="IE25" s="4"/>
      <c r="IF25" s="4">
        <f>COUNT(IF11:IF20)</f>
        <v>0</v>
      </c>
      <c r="IG25" s="4"/>
      <c r="IH25" s="4"/>
      <c r="II25" s="4"/>
      <c r="IJ25" s="4"/>
      <c r="IK25" s="4"/>
      <c r="IL25" s="189">
        <f>SUM(IG24:IL24)</f>
        <v>0</v>
      </c>
      <c r="IM25" s="189"/>
      <c r="IN25" s="4"/>
      <c r="IO25" s="178"/>
      <c r="IP25" s="178"/>
      <c r="IQ25" s="186"/>
      <c r="IR25" s="178"/>
      <c r="IS25" s="188"/>
      <c r="IT25" s="178"/>
      <c r="IU25" s="182"/>
      <c r="IV25" s="182"/>
    </row>
    <row r="26" spans="1:256" s="169" customFormat="1" ht="16.2" hidden="1" thickBot="1">
      <c r="B26" s="717"/>
      <c r="C26" s="408"/>
      <c r="D26" s="8"/>
      <c r="E26" s="8"/>
      <c r="F26" s="8"/>
      <c r="G26" s="8"/>
      <c r="H26" s="8"/>
      <c r="I26" s="8"/>
      <c r="J26" s="8"/>
      <c r="K26" s="8"/>
      <c r="L26" s="8"/>
      <c r="M26" s="8"/>
      <c r="N26" s="8"/>
      <c r="O26" s="8"/>
      <c r="P26" s="8"/>
      <c r="Q26" s="8"/>
      <c r="R26" s="8"/>
      <c r="S26" s="8"/>
      <c r="T26" s="8"/>
      <c r="U26" s="8"/>
      <c r="V26" s="8"/>
      <c r="W26" s="8"/>
      <c r="X26" s="8"/>
      <c r="Y26" s="8"/>
      <c r="Z26" s="8"/>
      <c r="AA26" s="8"/>
      <c r="AB26" s="8"/>
      <c r="AC26" s="8"/>
      <c r="AD26" s="8"/>
      <c r="AE26" s="8"/>
      <c r="AF26" s="8"/>
      <c r="AG26" s="8"/>
      <c r="AH26" s="8"/>
      <c r="AI26" s="8"/>
      <c r="AJ26" s="8"/>
      <c r="AK26" s="8"/>
      <c r="AL26" s="8"/>
      <c r="AM26" s="4"/>
      <c r="AN26" s="4"/>
      <c r="AO26" s="4"/>
      <c r="AP26" s="4"/>
      <c r="AQ26" s="4"/>
      <c r="AR26" s="424"/>
      <c r="AS26" s="6"/>
      <c r="AT26" s="178"/>
      <c r="AU26" s="178"/>
      <c r="AV26" s="4"/>
      <c r="AW26" s="4"/>
      <c r="AX26" s="4"/>
      <c r="AY26" s="4"/>
      <c r="AZ26" s="4"/>
      <c r="BA26" s="4"/>
      <c r="BB26" s="30"/>
      <c r="BC26" s="30"/>
      <c r="BD26" s="4"/>
      <c r="BE26" s="4"/>
      <c r="BF26" s="4"/>
      <c r="BG26" s="4"/>
      <c r="BH26" s="8"/>
      <c r="BI26" s="8"/>
      <c r="BJ26" s="8"/>
      <c r="BK26" s="8"/>
      <c r="BL26" s="8"/>
      <c r="BM26" s="8"/>
      <c r="BN26" s="8"/>
      <c r="BO26" s="8"/>
      <c r="BP26" s="8"/>
      <c r="BQ26" s="8"/>
      <c r="BR26" s="8"/>
      <c r="BS26" s="8"/>
      <c r="BT26" s="8"/>
      <c r="BU26" s="8"/>
      <c r="BV26" s="8"/>
      <c r="BW26" s="8"/>
      <c r="BX26" s="8"/>
      <c r="BY26" s="8"/>
      <c r="BZ26" s="8"/>
      <c r="CA26" s="6"/>
      <c r="CB26" s="8"/>
      <c r="CC26" s="4"/>
      <c r="CD26" s="4"/>
      <c r="CE26" s="4"/>
      <c r="CF26" s="4"/>
      <c r="CG26" s="4"/>
      <c r="CH26" s="4"/>
      <c r="CI26" s="30" t="str">
        <f>"Should be: "&amp;$AM$3</f>
        <v>Should be: 10</v>
      </c>
      <c r="CJ26" s="4"/>
      <c r="CK26" s="178"/>
      <c r="CL26" s="8"/>
      <c r="CM26" s="178"/>
      <c r="CN26" s="178"/>
      <c r="CO26" s="178"/>
      <c r="CP26" s="178"/>
      <c r="CQ26" s="178">
        <f>SUM(CP25:CR25)</f>
        <v>0</v>
      </c>
      <c r="CR26" s="178"/>
      <c r="CS26" s="178"/>
      <c r="CT26" s="178"/>
      <c r="CU26" s="8"/>
      <c r="CV26" s="8"/>
      <c r="CW26" s="30"/>
      <c r="CX26" s="4"/>
      <c r="CY26" s="4"/>
      <c r="CZ26" s="4"/>
      <c r="DA26" s="4"/>
      <c r="DB26" s="4"/>
      <c r="DC26" s="4"/>
      <c r="DD26" s="30"/>
      <c r="DE26" s="30"/>
      <c r="DF26" s="4"/>
      <c r="DG26" s="4"/>
      <c r="DH26" s="4"/>
      <c r="DI26" s="4"/>
      <c r="DJ26" s="4"/>
      <c r="DK26" s="4"/>
      <c r="DL26" s="30"/>
      <c r="DM26" s="30"/>
      <c r="DN26" s="30"/>
      <c r="DO26" s="30"/>
      <c r="DP26" s="9"/>
      <c r="DQ26" s="178"/>
      <c r="DR26" s="178"/>
      <c r="DS26" s="178"/>
      <c r="DT26" s="178"/>
      <c r="DU26" s="178"/>
      <c r="DV26" s="178"/>
      <c r="DW26" s="178"/>
      <c r="DX26" s="178"/>
      <c r="DY26" s="185">
        <f>DY24-DY25</f>
        <v>0</v>
      </c>
      <c r="DZ26" s="178"/>
      <c r="EA26" s="178"/>
      <c r="EB26" s="178"/>
      <c r="EC26" s="178"/>
      <c r="ED26" s="178"/>
      <c r="EE26" s="178"/>
      <c r="EF26" s="178"/>
      <c r="EG26" s="178"/>
      <c r="EH26" s="185">
        <f>EH24-EH25</f>
        <v>0</v>
      </c>
      <c r="EI26" s="178"/>
      <c r="EJ26" s="178"/>
      <c r="EK26" s="178"/>
      <c r="EL26" s="178"/>
      <c r="EM26" s="178"/>
      <c r="EN26" s="178"/>
      <c r="EO26" s="178"/>
      <c r="EP26" s="178"/>
      <c r="EQ26" s="185">
        <f>EQ24-EQ25</f>
        <v>0</v>
      </c>
      <c r="ER26" s="178"/>
      <c r="ES26" s="178"/>
      <c r="ET26" s="178"/>
      <c r="EU26" s="178"/>
      <c r="EV26" s="178"/>
      <c r="EW26" s="178"/>
      <c r="EX26" s="178"/>
      <c r="EY26" s="178"/>
      <c r="EZ26" s="185">
        <f>EZ24-EZ25</f>
        <v>0</v>
      </c>
      <c r="FA26" s="186"/>
      <c r="FB26" s="178"/>
      <c r="FC26" s="178"/>
      <c r="FD26" s="178"/>
      <c r="FE26" s="178"/>
      <c r="FF26" s="178"/>
      <c r="FG26" s="178"/>
      <c r="FH26" s="178"/>
      <c r="FI26" s="185">
        <f>FI24-FI25</f>
        <v>0</v>
      </c>
      <c r="FJ26" s="189"/>
      <c r="FK26" s="178"/>
      <c r="FL26" s="178"/>
      <c r="FM26" s="178"/>
      <c r="FN26" s="178"/>
      <c r="FO26" s="178"/>
      <c r="FP26" s="178"/>
      <c r="FQ26" s="178"/>
      <c r="FR26" s="185">
        <f>FR24-FR25</f>
        <v>0</v>
      </c>
      <c r="FS26" s="178"/>
      <c r="FT26" s="178"/>
      <c r="FU26" s="178"/>
      <c r="FV26" s="178"/>
      <c r="FW26" s="178"/>
      <c r="FX26" s="178"/>
      <c r="FY26" s="178"/>
      <c r="FZ26" s="178"/>
      <c r="GA26" s="185">
        <f>GA24-GA25</f>
        <v>0</v>
      </c>
      <c r="GB26" s="178"/>
      <c r="GC26" s="178"/>
      <c r="GD26" s="178"/>
      <c r="GE26" s="178"/>
      <c r="GF26" s="178"/>
      <c r="GG26" s="178"/>
      <c r="GH26" s="178"/>
      <c r="GI26" s="178"/>
      <c r="GJ26" s="185">
        <f>GJ24-GJ25</f>
        <v>0</v>
      </c>
      <c r="GK26" s="178"/>
      <c r="GL26" s="178"/>
      <c r="GM26" s="178"/>
      <c r="GN26" s="178"/>
      <c r="GO26" s="178"/>
      <c r="GP26" s="178"/>
      <c r="GQ26" s="178"/>
      <c r="GR26" s="178"/>
      <c r="GS26" s="185">
        <f>GS24-GS25</f>
        <v>0</v>
      </c>
      <c r="GT26" s="178"/>
      <c r="GU26" s="178"/>
      <c r="GV26" s="178"/>
      <c r="GW26" s="178"/>
      <c r="GX26" s="178"/>
      <c r="GY26" s="178"/>
      <c r="GZ26" s="178"/>
      <c r="HA26" s="178"/>
      <c r="HB26" s="185">
        <f>HB24-HB25</f>
        <v>0</v>
      </c>
      <c r="HC26" s="187"/>
      <c r="HD26" s="187"/>
      <c r="HE26" s="187"/>
      <c r="HF26" s="187"/>
      <c r="HG26" s="187"/>
      <c r="HH26" s="187"/>
      <c r="HI26" s="187"/>
      <c r="HJ26" s="187"/>
      <c r="HK26" s="185">
        <f>HK24-HK25</f>
        <v>0</v>
      </c>
      <c r="HL26" s="187"/>
      <c r="HM26" s="187"/>
      <c r="HN26" s="187"/>
      <c r="HO26" s="187"/>
      <c r="HP26" s="187"/>
      <c r="HQ26" s="187"/>
      <c r="HR26" s="187"/>
      <c r="HS26" s="187"/>
      <c r="HT26" s="185">
        <f>HT24-HT25</f>
        <v>0</v>
      </c>
      <c r="HU26" s="185"/>
      <c r="HV26" s="183"/>
      <c r="HW26" s="4"/>
      <c r="HX26" s="4"/>
      <c r="HY26" s="4"/>
      <c r="HZ26" s="4"/>
      <c r="IA26" s="4"/>
      <c r="IB26" s="4"/>
      <c r="IC26" s="30"/>
      <c r="ID26" s="178"/>
      <c r="IE26" s="4"/>
      <c r="IF26" s="4"/>
      <c r="IG26" s="4"/>
      <c r="IH26" s="4"/>
      <c r="II26" s="4"/>
      <c r="IJ26" s="4"/>
      <c r="IK26" s="4"/>
      <c r="IL26" s="4"/>
      <c r="IM26" s="4"/>
      <c r="IN26" s="4"/>
      <c r="IO26" s="178"/>
      <c r="IP26" s="178"/>
      <c r="IQ26" s="186"/>
      <c r="IR26" s="178"/>
      <c r="IS26" s="188"/>
      <c r="IT26" s="178"/>
      <c r="IU26" s="189"/>
      <c r="IV26" s="189"/>
    </row>
    <row r="27" spans="1:256" s="169" customFormat="1" ht="16.2" hidden="1" thickBot="1">
      <c r="B27" s="717"/>
      <c r="C27" s="408"/>
      <c r="D27" s="8"/>
      <c r="E27" s="8"/>
      <c r="F27" s="8"/>
      <c r="G27" s="8"/>
      <c r="H27" s="8"/>
      <c r="I27" s="8"/>
      <c r="J27" s="8"/>
      <c r="K27" s="8"/>
      <c r="L27" s="8"/>
      <c r="M27" s="8"/>
      <c r="N27" s="8"/>
      <c r="O27" s="8"/>
      <c r="P27" s="8"/>
      <c r="Q27" s="8"/>
      <c r="R27" s="8"/>
      <c r="S27" s="8"/>
      <c r="T27" s="8"/>
      <c r="U27" s="8"/>
      <c r="V27" s="8"/>
      <c r="W27" s="8"/>
      <c r="X27" s="8"/>
      <c r="Y27" s="8"/>
      <c r="Z27" s="8"/>
      <c r="AA27" s="8"/>
      <c r="AB27" s="8"/>
      <c r="AC27" s="8"/>
      <c r="AD27" s="8"/>
      <c r="AE27" s="8"/>
      <c r="AF27" s="8"/>
      <c r="AG27" s="8"/>
      <c r="AH27" s="8"/>
      <c r="AI27" s="8"/>
      <c r="AJ27" s="8"/>
      <c r="AK27" s="8"/>
      <c r="AL27" s="8"/>
      <c r="AM27" s="4"/>
      <c r="AN27" s="4"/>
      <c r="AO27" s="4"/>
      <c r="AP27" s="4"/>
      <c r="AQ27" s="4"/>
      <c r="AR27" s="424"/>
      <c r="AS27" s="6"/>
      <c r="AT27" s="178"/>
      <c r="AU27" s="178"/>
      <c r="AV27" s="4"/>
      <c r="AW27" s="4"/>
      <c r="AX27" s="4"/>
      <c r="AY27" s="4"/>
      <c r="AZ27" s="4"/>
      <c r="BA27" s="4"/>
      <c r="BB27" s="30"/>
      <c r="BC27" s="30"/>
      <c r="BD27" s="4"/>
      <c r="BE27" s="4"/>
      <c r="BF27" s="4"/>
      <c r="BG27" s="4"/>
      <c r="BH27" s="8"/>
      <c r="BI27" s="8"/>
      <c r="BJ27" s="8"/>
      <c r="BK27" s="8"/>
      <c r="BL27" s="8"/>
      <c r="BM27" s="8"/>
      <c r="BN27" s="8"/>
      <c r="BO27" s="8"/>
      <c r="BP27" s="8"/>
      <c r="BQ27" s="8"/>
      <c r="BR27" s="8"/>
      <c r="BS27" s="8"/>
      <c r="BT27" s="8"/>
      <c r="BU27" s="8"/>
      <c r="BV27" s="8"/>
      <c r="BW27" s="8"/>
      <c r="BX27" s="8"/>
      <c r="BY27" s="8"/>
      <c r="BZ27" s="8"/>
      <c r="CA27" s="6"/>
      <c r="CB27" s="8"/>
      <c r="CC27" s="4"/>
      <c r="CD27" s="4"/>
      <c r="CE27" s="4"/>
      <c r="CF27" s="4"/>
      <c r="CG27" s="4"/>
      <c r="CH27" s="4"/>
      <c r="CI27" s="4"/>
      <c r="CJ27" s="4"/>
      <c r="CK27" s="178"/>
      <c r="CL27" s="8"/>
      <c r="CM27" s="178"/>
      <c r="CN27" s="178"/>
      <c r="CO27" s="178"/>
      <c r="CP27" s="190" t="s">
        <v>511</v>
      </c>
      <c r="CQ27" s="191">
        <f>SUM(CP24:CR24)</f>
        <v>0</v>
      </c>
      <c r="CR27" s="178"/>
      <c r="CS27" s="192"/>
      <c r="CT27" s="178"/>
      <c r="CU27" s="8"/>
      <c r="CV27" s="8"/>
      <c r="CW27" s="30"/>
      <c r="CX27" s="4"/>
      <c r="CY27" s="4"/>
      <c r="CZ27" s="4"/>
      <c r="DA27" s="4"/>
      <c r="DB27" s="4"/>
      <c r="DC27" s="4"/>
      <c r="DD27" s="30"/>
      <c r="DE27" s="30"/>
      <c r="DF27" s="4"/>
      <c r="DG27" s="4"/>
      <c r="DH27" s="4"/>
      <c r="DI27" s="4"/>
      <c r="DJ27" s="4"/>
      <c r="DK27" s="4"/>
      <c r="DL27" s="30"/>
      <c r="DM27" s="30"/>
      <c r="DN27" s="30" t="str">
        <f>"Multi-year - "&amp;COUNTIF($DN$11:$DN$20, "Multi-year")</f>
        <v>Multi-year - 0</v>
      </c>
      <c r="DO27" s="30"/>
      <c r="DP27" s="9"/>
      <c r="DQ27" s="178"/>
      <c r="DR27" s="178"/>
      <c r="DS27" s="178"/>
      <c r="DT27" s="178"/>
      <c r="DU27" s="178"/>
      <c r="DV27" s="178"/>
      <c r="DW27" s="178"/>
      <c r="DX27" s="178"/>
      <c r="DY27" s="185"/>
      <c r="DZ27" s="178"/>
      <c r="EA27" s="178"/>
      <c r="EB27" s="178"/>
      <c r="EC27" s="178"/>
      <c r="ED27" s="178"/>
      <c r="EE27" s="178"/>
      <c r="EF27" s="178"/>
      <c r="EG27" s="178"/>
      <c r="EH27" s="185"/>
      <c r="EI27" s="178"/>
      <c r="EJ27" s="178"/>
      <c r="EK27" s="178"/>
      <c r="EL27" s="178"/>
      <c r="EM27" s="178"/>
      <c r="EN27" s="178"/>
      <c r="EO27" s="178"/>
      <c r="EP27" s="178"/>
      <c r="EQ27" s="185"/>
      <c r="ER27" s="178"/>
      <c r="ES27" s="178"/>
      <c r="ET27" s="178"/>
      <c r="EU27" s="178"/>
      <c r="EV27" s="178"/>
      <c r="EW27" s="178"/>
      <c r="EX27" s="178"/>
      <c r="EY27" s="178"/>
      <c r="EZ27" s="185"/>
      <c r="FA27" s="186"/>
      <c r="FB27" s="178"/>
      <c r="FC27" s="178"/>
      <c r="FD27" s="178"/>
      <c r="FE27" s="178"/>
      <c r="FF27" s="178"/>
      <c r="FG27" s="178"/>
      <c r="FH27" s="178"/>
      <c r="FI27" s="185"/>
      <c r="FJ27" s="189"/>
      <c r="FK27" s="178"/>
      <c r="FL27" s="178"/>
      <c r="FM27" s="178"/>
      <c r="FN27" s="178"/>
      <c r="FO27" s="178"/>
      <c r="FP27" s="178"/>
      <c r="FQ27" s="178"/>
      <c r="FR27" s="185"/>
      <c r="FS27" s="178"/>
      <c r="FT27" s="178"/>
      <c r="FU27" s="178"/>
      <c r="FV27" s="178"/>
      <c r="FW27" s="178"/>
      <c r="FX27" s="178"/>
      <c r="FY27" s="178"/>
      <c r="FZ27" s="178"/>
      <c r="GA27" s="185"/>
      <c r="GB27" s="178"/>
      <c r="GC27" s="178"/>
      <c r="GD27" s="178"/>
      <c r="GE27" s="178"/>
      <c r="GF27" s="178"/>
      <c r="GG27" s="178"/>
      <c r="GH27" s="178"/>
      <c r="GI27" s="178"/>
      <c r="GJ27" s="185"/>
      <c r="GK27" s="178"/>
      <c r="GL27" s="178"/>
      <c r="GM27" s="178"/>
      <c r="GN27" s="178"/>
      <c r="GO27" s="178"/>
      <c r="GP27" s="178"/>
      <c r="GQ27" s="178"/>
      <c r="GR27" s="178"/>
      <c r="GS27" s="185"/>
      <c r="GT27" s="178"/>
      <c r="GU27" s="178"/>
      <c r="GV27" s="178"/>
      <c r="GW27" s="178"/>
      <c r="GX27" s="178"/>
      <c r="GY27" s="178"/>
      <c r="GZ27" s="178"/>
      <c r="HA27" s="178"/>
      <c r="HB27" s="185"/>
      <c r="HC27" s="187"/>
      <c r="HD27" s="187"/>
      <c r="HE27" s="187"/>
      <c r="HF27" s="187"/>
      <c r="HG27" s="187"/>
      <c r="HH27" s="187"/>
      <c r="HI27" s="187"/>
      <c r="HJ27" s="187"/>
      <c r="HK27" s="185"/>
      <c r="HL27" s="187"/>
      <c r="HM27" s="187"/>
      <c r="HN27" s="187"/>
      <c r="HO27" s="187"/>
      <c r="HP27" s="187"/>
      <c r="HQ27" s="187"/>
      <c r="HR27" s="187"/>
      <c r="HS27" s="187"/>
      <c r="HT27" s="185"/>
      <c r="HU27" s="185"/>
      <c r="HV27" s="183"/>
      <c r="HW27" s="4"/>
      <c r="HX27" s="4"/>
      <c r="HY27" s="4"/>
      <c r="HZ27" s="4"/>
      <c r="IA27" s="4"/>
      <c r="IB27" s="4"/>
      <c r="IC27" s="30" t="s">
        <v>461</v>
      </c>
      <c r="ID27" s="8" t="s">
        <v>504</v>
      </c>
      <c r="IE27" s="4"/>
      <c r="IF27" s="4"/>
      <c r="IG27" s="4"/>
      <c r="IH27" s="4"/>
      <c r="II27" s="4"/>
      <c r="IJ27" s="4"/>
      <c r="IK27" s="4"/>
      <c r="IL27" s="4"/>
      <c r="IM27" s="4"/>
      <c r="IN27" s="4"/>
      <c r="IO27" s="178"/>
      <c r="IP27" s="178"/>
      <c r="IQ27" s="186"/>
      <c r="IR27" s="178"/>
      <c r="IS27" s="188"/>
      <c r="IT27" s="178"/>
      <c r="IU27" s="189"/>
      <c r="IV27" s="189"/>
    </row>
    <row r="28" spans="1:256" s="169" customFormat="1" hidden="1">
      <c r="B28" s="717"/>
      <c r="C28" s="408"/>
      <c r="D28" s="8"/>
      <c r="E28" s="8"/>
      <c r="F28" s="8"/>
      <c r="G28" s="8"/>
      <c r="H28" s="8"/>
      <c r="I28" s="8"/>
      <c r="J28" s="8"/>
      <c r="K28" s="8"/>
      <c r="L28" s="8"/>
      <c r="M28" s="8"/>
      <c r="N28" s="8"/>
      <c r="O28" s="8"/>
      <c r="P28" s="8"/>
      <c r="Q28" s="8"/>
      <c r="R28" s="8"/>
      <c r="S28" s="8"/>
      <c r="T28" s="8"/>
      <c r="U28" s="8"/>
      <c r="V28" s="8"/>
      <c r="W28" s="8"/>
      <c r="X28" s="8"/>
      <c r="Y28" s="8"/>
      <c r="Z28" s="8"/>
      <c r="AA28" s="8"/>
      <c r="AB28" s="8"/>
      <c r="AC28" s="8"/>
      <c r="AD28" s="8"/>
      <c r="AE28" s="8"/>
      <c r="AF28" s="8"/>
      <c r="AG28" s="8"/>
      <c r="AH28" s="8"/>
      <c r="AI28" s="8"/>
      <c r="AJ28" s="8"/>
      <c r="AK28" s="8"/>
      <c r="AL28" s="8"/>
      <c r="AM28" s="4"/>
      <c r="AN28" s="4"/>
      <c r="AO28" s="4"/>
      <c r="AP28" s="4"/>
      <c r="AQ28" s="4"/>
      <c r="AR28" s="424"/>
      <c r="AS28" s="6"/>
      <c r="AT28" s="178"/>
      <c r="AU28" s="178"/>
      <c r="AV28" s="4"/>
      <c r="AW28" s="4"/>
      <c r="AX28" s="4"/>
      <c r="AY28" s="4"/>
      <c r="AZ28" s="4"/>
      <c r="BA28" s="4"/>
      <c r="BB28" s="30"/>
      <c r="BC28" s="30"/>
      <c r="BD28" s="4"/>
      <c r="BE28" s="4"/>
      <c r="BF28" s="4"/>
      <c r="BG28" s="4"/>
      <c r="BH28" s="8"/>
      <c r="BI28" s="8"/>
      <c r="BJ28" s="8"/>
      <c r="BK28" s="8"/>
      <c r="BL28" s="8"/>
      <c r="BM28" s="8"/>
      <c r="BN28" s="8"/>
      <c r="BO28" s="8"/>
      <c r="BP28" s="8"/>
      <c r="BQ28" s="8"/>
      <c r="BR28" s="8"/>
      <c r="BS28" s="8"/>
      <c r="BT28" s="8"/>
      <c r="BU28" s="8"/>
      <c r="BV28" s="8"/>
      <c r="BW28" s="8"/>
      <c r="BX28" s="8"/>
      <c r="BY28" s="8"/>
      <c r="BZ28" s="8"/>
      <c r="CA28" s="6"/>
      <c r="CB28" s="8"/>
      <c r="CC28" s="4"/>
      <c r="CD28" s="4"/>
      <c r="CE28" s="4"/>
      <c r="CF28" s="4"/>
      <c r="CG28" s="4"/>
      <c r="CH28" s="4"/>
      <c r="CI28" s="4"/>
      <c r="CJ28" s="4"/>
      <c r="CK28" s="178"/>
      <c r="CL28" s="8"/>
      <c r="CM28" s="178"/>
      <c r="CN28" s="178"/>
      <c r="CO28" s="178"/>
      <c r="CP28" s="178"/>
      <c r="CQ28" s="178"/>
      <c r="CR28" s="178"/>
      <c r="CS28" s="178"/>
      <c r="CT28" s="178"/>
      <c r="CU28" s="8"/>
      <c r="CV28" s="8"/>
      <c r="CW28" s="30"/>
      <c r="CX28" s="4"/>
      <c r="CY28" s="4"/>
      <c r="CZ28" s="4"/>
      <c r="DA28" s="4"/>
      <c r="DB28" s="4"/>
      <c r="DC28" s="4"/>
      <c r="DD28" s="30"/>
      <c r="DE28" s="30"/>
      <c r="DF28" s="4"/>
      <c r="DG28" s="4"/>
      <c r="DH28" s="4"/>
      <c r="DI28" s="4"/>
      <c r="DJ28" s="4"/>
      <c r="DK28" s="4"/>
      <c r="DL28" s="30"/>
      <c r="DM28" s="30"/>
      <c r="DN28" s="30" t="str">
        <f>"Single - "&amp;COUNTIF($DN$11:$DN$20, "Single")</f>
        <v>Single - 0</v>
      </c>
      <c r="DO28" s="30"/>
      <c r="DP28" s="9"/>
      <c r="DQ28" s="178"/>
      <c r="DR28" s="178"/>
      <c r="DS28" s="178"/>
      <c r="DT28" s="178"/>
      <c r="DU28" s="178"/>
      <c r="DV28" s="178"/>
      <c r="DW28" s="178"/>
      <c r="DX28" s="178"/>
      <c r="DY28" s="187"/>
      <c r="DZ28" s="178"/>
      <c r="EA28" s="178"/>
      <c r="EB28" s="178"/>
      <c r="EC28" s="178"/>
      <c r="ED28" s="178"/>
      <c r="EE28" s="178"/>
      <c r="EF28" s="178"/>
      <c r="EG28" s="178"/>
      <c r="EH28" s="187"/>
      <c r="EI28" s="178"/>
      <c r="EJ28" s="178"/>
      <c r="EK28" s="178"/>
      <c r="EL28" s="178"/>
      <c r="EM28" s="178"/>
      <c r="EN28" s="178"/>
      <c r="EO28" s="178"/>
      <c r="EP28" s="178"/>
      <c r="EQ28" s="187"/>
      <c r="ER28" s="178"/>
      <c r="ES28" s="178"/>
      <c r="ET28" s="178"/>
      <c r="EU28" s="178"/>
      <c r="EV28" s="178"/>
      <c r="EW28" s="178"/>
      <c r="EX28" s="178"/>
      <c r="EY28" s="178"/>
      <c r="EZ28" s="187"/>
      <c r="FA28" s="186"/>
      <c r="FB28" s="178"/>
      <c r="FC28" s="178"/>
      <c r="FD28" s="178"/>
      <c r="FE28" s="178"/>
      <c r="FF28" s="178"/>
      <c r="FG28" s="178"/>
      <c r="FH28" s="178"/>
      <c r="FI28" s="187"/>
      <c r="FJ28" s="189"/>
      <c r="FK28" s="178"/>
      <c r="FL28" s="178"/>
      <c r="FM28" s="178"/>
      <c r="FN28" s="178"/>
      <c r="FO28" s="178"/>
      <c r="FP28" s="178"/>
      <c r="FQ28" s="178"/>
      <c r="FR28" s="187"/>
      <c r="FS28" s="178"/>
      <c r="FT28" s="178"/>
      <c r="FU28" s="178"/>
      <c r="FV28" s="178"/>
      <c r="FW28" s="178"/>
      <c r="FX28" s="178"/>
      <c r="FY28" s="178"/>
      <c r="FZ28" s="178"/>
      <c r="GA28" s="187"/>
      <c r="GB28" s="178"/>
      <c r="GC28" s="178"/>
      <c r="GD28" s="178"/>
      <c r="GE28" s="178"/>
      <c r="GF28" s="178"/>
      <c r="GG28" s="178"/>
      <c r="GH28" s="178"/>
      <c r="GI28" s="178"/>
      <c r="GJ28" s="187"/>
      <c r="GK28" s="178"/>
      <c r="GL28" s="178"/>
      <c r="GM28" s="178"/>
      <c r="GN28" s="178"/>
      <c r="GO28" s="178"/>
      <c r="GP28" s="178"/>
      <c r="GQ28" s="178"/>
      <c r="GR28" s="178"/>
      <c r="GS28" s="187"/>
      <c r="GT28" s="178"/>
      <c r="GU28" s="178"/>
      <c r="GV28" s="178"/>
      <c r="GW28" s="178"/>
      <c r="GX28" s="178"/>
      <c r="GY28" s="178"/>
      <c r="GZ28" s="178"/>
      <c r="HA28" s="178"/>
      <c r="HB28" s="187"/>
      <c r="HC28" s="187"/>
      <c r="HD28" s="187"/>
      <c r="HE28" s="187"/>
      <c r="HF28" s="187"/>
      <c r="HG28" s="187"/>
      <c r="HH28" s="187"/>
      <c r="HI28" s="187"/>
      <c r="HJ28" s="187"/>
      <c r="HK28" s="187"/>
      <c r="HL28" s="187"/>
      <c r="HM28" s="187"/>
      <c r="HN28" s="187"/>
      <c r="HO28" s="187"/>
      <c r="HP28" s="187"/>
      <c r="HQ28" s="187"/>
      <c r="HR28" s="187"/>
      <c r="HS28" s="187"/>
      <c r="HT28" s="187"/>
      <c r="HU28" s="187"/>
      <c r="HV28" s="183"/>
      <c r="HW28" s="4"/>
      <c r="HX28" s="4"/>
      <c r="HY28" s="4"/>
      <c r="HZ28" s="4"/>
      <c r="IA28" s="4"/>
      <c r="IB28" s="4"/>
      <c r="IC28" s="193">
        <v>2014</v>
      </c>
      <c r="ID28" s="194">
        <f>COUNTIF(ID11:ID20, 2014)</f>
        <v>0</v>
      </c>
      <c r="IE28" s="4"/>
      <c r="IF28" s="4"/>
      <c r="IG28" s="4"/>
      <c r="IH28" s="715" t="s">
        <v>69</v>
      </c>
      <c r="II28" s="716">
        <f>IG24</f>
        <v>0</v>
      </c>
      <c r="IJ28" s="4"/>
      <c r="IK28" s="4"/>
      <c r="IL28" s="4"/>
      <c r="IM28" s="4"/>
      <c r="IN28" s="4"/>
      <c r="IO28" s="178"/>
      <c r="IP28" s="178"/>
      <c r="IQ28" s="186"/>
      <c r="IR28" s="178"/>
      <c r="IS28" s="188"/>
      <c r="IT28" s="178"/>
      <c r="IU28" s="4"/>
      <c r="IV28" s="4"/>
    </row>
    <row r="29" spans="1:256" s="169" customFormat="1" hidden="1">
      <c r="B29" s="717"/>
      <c r="C29" s="408"/>
      <c r="D29" s="8"/>
      <c r="E29" s="8"/>
      <c r="F29" s="8"/>
      <c r="G29" s="8"/>
      <c r="H29" s="8"/>
      <c r="I29" s="8"/>
      <c r="J29" s="8"/>
      <c r="K29" s="8"/>
      <c r="L29" s="8"/>
      <c r="M29" s="8"/>
      <c r="N29" s="8"/>
      <c r="O29" s="8"/>
      <c r="P29" s="8"/>
      <c r="Q29" s="8"/>
      <c r="R29" s="8"/>
      <c r="S29" s="8"/>
      <c r="T29" s="8"/>
      <c r="U29" s="8"/>
      <c r="V29" s="8"/>
      <c r="W29" s="8"/>
      <c r="X29" s="8"/>
      <c r="Y29" s="8"/>
      <c r="Z29" s="8"/>
      <c r="AA29" s="8"/>
      <c r="AB29" s="8"/>
      <c r="AC29" s="8"/>
      <c r="AD29" s="8"/>
      <c r="AE29" s="8"/>
      <c r="AF29" s="8"/>
      <c r="AG29" s="8"/>
      <c r="AH29" s="8"/>
      <c r="AI29" s="8"/>
      <c r="AJ29" s="8"/>
      <c r="AK29" s="8"/>
      <c r="AL29" s="8"/>
      <c r="AM29" s="452" t="s">
        <v>476</v>
      </c>
      <c r="AN29" s="453" t="s">
        <v>765</v>
      </c>
      <c r="AO29" s="724"/>
      <c r="AP29" s="724"/>
      <c r="AQ29" s="4"/>
      <c r="AR29" s="424"/>
      <c r="AS29" s="6"/>
      <c r="AT29" s="178"/>
      <c r="AU29" s="178"/>
      <c r="AV29" s="4"/>
      <c r="AW29" s="4"/>
      <c r="AX29" s="4"/>
      <c r="AY29" s="4"/>
      <c r="AZ29" s="4"/>
      <c r="BA29" s="4"/>
      <c r="BB29" s="30"/>
      <c r="BC29" s="30"/>
      <c r="BD29" s="4"/>
      <c r="BE29" s="4"/>
      <c r="BF29" s="4"/>
      <c r="BG29" s="4"/>
      <c r="BH29" s="8"/>
      <c r="BI29" s="8"/>
      <c r="BJ29" s="8"/>
      <c r="BK29" s="8"/>
      <c r="BL29" s="8"/>
      <c r="BM29" s="8"/>
      <c r="BN29" s="8"/>
      <c r="BO29" s="8"/>
      <c r="BP29" s="8"/>
      <c r="BQ29" s="8"/>
      <c r="BR29" s="8"/>
      <c r="BS29" s="8"/>
      <c r="BT29" s="8"/>
      <c r="BU29" s="8"/>
      <c r="BV29" s="8"/>
      <c r="BW29" s="8"/>
      <c r="BX29" s="8"/>
      <c r="BY29" s="8"/>
      <c r="BZ29" s="8"/>
      <c r="CA29" s="6"/>
      <c r="CB29" s="8"/>
      <c r="CC29" s="4"/>
      <c r="CD29" s="4"/>
      <c r="CE29" s="4"/>
      <c r="CF29" s="4"/>
      <c r="CG29" s="4"/>
      <c r="CH29" s="4"/>
      <c r="CI29" s="4"/>
      <c r="CJ29" s="4"/>
      <c r="CK29" s="178"/>
      <c r="CL29" s="8"/>
      <c r="CM29" s="178"/>
      <c r="CN29" s="178"/>
      <c r="CO29" s="178"/>
      <c r="CP29" s="178"/>
      <c r="CQ29" s="178"/>
      <c r="CR29" s="178"/>
      <c r="CS29" s="178"/>
      <c r="CT29" s="178"/>
      <c r="CU29" s="8"/>
      <c r="CV29" s="8"/>
      <c r="CW29" s="30"/>
      <c r="CX29" s="4"/>
      <c r="CY29" s="4"/>
      <c r="CZ29" s="4"/>
      <c r="DA29" s="4"/>
      <c r="DB29" s="4"/>
      <c r="DC29" s="4"/>
      <c r="DD29" s="30"/>
      <c r="DE29" s="30"/>
      <c r="DF29" s="4"/>
      <c r="DG29" s="4"/>
      <c r="DH29" s="4"/>
      <c r="DI29" s="4"/>
      <c r="DJ29" s="4"/>
      <c r="DK29" s="4"/>
      <c r="DL29" s="30"/>
      <c r="DM29" s="30"/>
      <c r="DN29" s="30" t="str">
        <f>"No cost - "&amp;COUNTIF($DN$11:$DN$20, "No cost")</f>
        <v>No cost - 10</v>
      </c>
      <c r="DO29" s="30"/>
      <c r="DP29" s="9"/>
      <c r="DQ29" s="178"/>
      <c r="DR29" s="178"/>
      <c r="DS29" s="178"/>
      <c r="DT29" s="178"/>
      <c r="DU29" s="178"/>
      <c r="DV29" s="178"/>
      <c r="DW29" s="178"/>
      <c r="DX29" s="178"/>
      <c r="DY29" s="187"/>
      <c r="DZ29" s="178"/>
      <c r="EA29" s="178"/>
      <c r="EB29" s="178"/>
      <c r="EC29" s="178"/>
      <c r="ED29" s="178"/>
      <c r="EE29" s="178"/>
      <c r="EF29" s="178"/>
      <c r="EG29" s="178"/>
      <c r="EH29" s="187"/>
      <c r="EI29" s="178"/>
      <c r="EJ29" s="178"/>
      <c r="EK29" s="178"/>
      <c r="EL29" s="178"/>
      <c r="EM29" s="178"/>
      <c r="EN29" s="178"/>
      <c r="EO29" s="178"/>
      <c r="EP29" s="178"/>
      <c r="EQ29" s="187"/>
      <c r="ER29" s="178"/>
      <c r="ES29" s="178"/>
      <c r="ET29" s="178"/>
      <c r="EU29" s="178"/>
      <c r="EV29" s="178"/>
      <c r="EW29" s="178"/>
      <c r="EX29" s="178"/>
      <c r="EY29" s="178"/>
      <c r="EZ29" s="187"/>
      <c r="FA29" s="186"/>
      <c r="FB29" s="178"/>
      <c r="FC29" s="178"/>
      <c r="FD29" s="178"/>
      <c r="FE29" s="178"/>
      <c r="FF29" s="178"/>
      <c r="FG29" s="178"/>
      <c r="FH29" s="178"/>
      <c r="FI29" s="187"/>
      <c r="FJ29" s="189"/>
      <c r="FK29" s="178"/>
      <c r="FL29" s="178"/>
      <c r="FM29" s="178"/>
      <c r="FN29" s="178"/>
      <c r="FO29" s="178"/>
      <c r="FP29" s="178"/>
      <c r="FQ29" s="178"/>
      <c r="FR29" s="187"/>
      <c r="FS29" s="178"/>
      <c r="FT29" s="178"/>
      <c r="FU29" s="178"/>
      <c r="FV29" s="178"/>
      <c r="FW29" s="178"/>
      <c r="FX29" s="178"/>
      <c r="FY29" s="178"/>
      <c r="FZ29" s="178"/>
      <c r="GA29" s="187"/>
      <c r="GB29" s="178"/>
      <c r="GC29" s="178"/>
      <c r="GD29" s="178"/>
      <c r="GE29" s="178"/>
      <c r="GF29" s="178"/>
      <c r="GG29" s="178"/>
      <c r="GH29" s="178"/>
      <c r="GI29" s="178"/>
      <c r="GJ29" s="187"/>
      <c r="GK29" s="178"/>
      <c r="GL29" s="178"/>
      <c r="GM29" s="178"/>
      <c r="GN29" s="178"/>
      <c r="GO29" s="178"/>
      <c r="GP29" s="178"/>
      <c r="GQ29" s="178"/>
      <c r="GR29" s="178"/>
      <c r="GS29" s="187"/>
      <c r="GT29" s="178"/>
      <c r="GU29" s="178"/>
      <c r="GV29" s="178"/>
      <c r="GW29" s="178"/>
      <c r="GX29" s="178"/>
      <c r="GY29" s="178"/>
      <c r="GZ29" s="178"/>
      <c r="HA29" s="178"/>
      <c r="HB29" s="187"/>
      <c r="HC29" s="187"/>
      <c r="HD29" s="187"/>
      <c r="HE29" s="187"/>
      <c r="HF29" s="187"/>
      <c r="HG29" s="187"/>
      <c r="HH29" s="187"/>
      <c r="HI29" s="187"/>
      <c r="HJ29" s="187"/>
      <c r="HK29" s="187"/>
      <c r="HL29" s="187"/>
      <c r="HM29" s="187"/>
      <c r="HN29" s="187"/>
      <c r="HO29" s="187"/>
      <c r="HP29" s="187"/>
      <c r="HQ29" s="187"/>
      <c r="HR29" s="187"/>
      <c r="HS29" s="187"/>
      <c r="HT29" s="185" t="str">
        <f>COUNTIF($HT$11:$HT$20,0)&amp;" projects with no costs submitted"</f>
        <v>10 projects with no costs submitted</v>
      </c>
      <c r="HU29" s="187"/>
      <c r="HV29" s="183"/>
      <c r="HW29" s="4"/>
      <c r="HX29" s="4"/>
      <c r="HY29" s="4"/>
      <c r="HZ29" s="4"/>
      <c r="IA29" s="4"/>
      <c r="IB29" s="4"/>
      <c r="IC29" s="195">
        <v>2015</v>
      </c>
      <c r="ID29" s="196">
        <f>COUNTIF(ID11:ID20, 2015)</f>
        <v>0</v>
      </c>
      <c r="IE29" s="4"/>
      <c r="IF29" s="4"/>
      <c r="IG29" s="4"/>
      <c r="IH29" s="715" t="s">
        <v>65</v>
      </c>
      <c r="II29" s="716">
        <f>IH24</f>
        <v>0</v>
      </c>
      <c r="IJ29" s="4"/>
      <c r="IK29" s="4"/>
      <c r="IL29" s="4"/>
      <c r="IM29" s="4"/>
      <c r="IN29" s="4"/>
      <c r="IO29" s="178"/>
      <c r="IP29" s="178"/>
      <c r="IQ29" s="186"/>
      <c r="IR29" s="178"/>
      <c r="IS29" s="188"/>
      <c r="IT29" s="178"/>
      <c r="IU29" s="4"/>
      <c r="IV29" s="4"/>
    </row>
    <row r="30" spans="1:256" s="169" customFormat="1" ht="16.2" hidden="1" thickBot="1">
      <c r="B30" s="717"/>
      <c r="C30" s="408"/>
      <c r="D30" s="8"/>
      <c r="E30" s="8"/>
      <c r="F30" s="8"/>
      <c r="G30" s="8"/>
      <c r="H30" s="8"/>
      <c r="I30" s="8"/>
      <c r="J30" s="8"/>
      <c r="K30" s="8"/>
      <c r="L30" s="8"/>
      <c r="M30" s="8"/>
      <c r="N30" s="8"/>
      <c r="O30" s="8"/>
      <c r="P30" s="8"/>
      <c r="Q30" s="8"/>
      <c r="R30" s="8"/>
      <c r="S30" s="8"/>
      <c r="T30" s="8"/>
      <c r="U30" s="8"/>
      <c r="V30" s="8"/>
      <c r="W30" s="8"/>
      <c r="X30" s="8"/>
      <c r="Y30" s="8"/>
      <c r="Z30" s="8"/>
      <c r="AA30" s="8"/>
      <c r="AB30" s="8"/>
      <c r="AC30" s="8"/>
      <c r="AD30" s="8"/>
      <c r="AE30" s="8"/>
      <c r="AF30" s="8"/>
      <c r="AG30" s="8"/>
      <c r="AH30" s="8"/>
      <c r="AI30" s="8"/>
      <c r="AJ30" s="8"/>
      <c r="AK30" s="8"/>
      <c r="AM30" s="454">
        <f>COUNTIF($AN$11:$AN$20, "Commission on Filipinos Overseas")</f>
        <v>0</v>
      </c>
      <c r="AN30" s="455" t="s">
        <v>673</v>
      </c>
      <c r="AO30" s="725"/>
      <c r="AP30" s="725"/>
      <c r="AQ30" s="4"/>
      <c r="AR30" s="424"/>
      <c r="AS30" s="6"/>
      <c r="AT30" s="178"/>
      <c r="AU30" s="178"/>
      <c r="AV30" s="4"/>
      <c r="AW30" s="4"/>
      <c r="AX30" s="4"/>
      <c r="AY30" s="4"/>
      <c r="AZ30" s="4"/>
      <c r="BA30" s="4"/>
      <c r="BB30" s="30"/>
      <c r="BC30" s="30"/>
      <c r="BD30" s="4"/>
      <c r="BE30" s="4"/>
      <c r="BF30" s="4"/>
      <c r="BG30" s="4"/>
      <c r="BH30" s="8"/>
      <c r="BI30" s="8"/>
      <c r="BJ30" s="8"/>
      <c r="BK30" s="8"/>
      <c r="BL30" s="8"/>
      <c r="BM30" s="8"/>
      <c r="BN30" s="8"/>
      <c r="BO30" s="8"/>
      <c r="BP30" s="8"/>
      <c r="BQ30" s="8"/>
      <c r="BR30" s="8"/>
      <c r="BS30" s="8"/>
      <c r="BT30" s="8"/>
      <c r="BU30" s="8"/>
      <c r="BV30" s="8"/>
      <c r="BW30" s="8"/>
      <c r="BX30" s="8"/>
      <c r="BY30" s="8"/>
      <c r="BZ30" s="8"/>
      <c r="CA30" s="6"/>
      <c r="CB30" s="8"/>
      <c r="CC30" s="4"/>
      <c r="CD30" s="4"/>
      <c r="CE30" s="4"/>
      <c r="CF30" s="4"/>
      <c r="CG30" s="4"/>
      <c r="CH30" s="4"/>
      <c r="CI30" s="4"/>
      <c r="CJ30" s="4"/>
      <c r="CK30" s="178"/>
      <c r="CL30" s="8"/>
      <c r="CM30" s="178"/>
      <c r="CN30" s="178"/>
      <c r="CO30" s="178"/>
      <c r="CP30" s="178"/>
      <c r="CQ30" s="178"/>
      <c r="CR30" s="178"/>
      <c r="CS30" s="178"/>
      <c r="CT30" s="178"/>
      <c r="CU30" s="8"/>
      <c r="CV30" s="8"/>
      <c r="CW30" s="30"/>
      <c r="CX30" s="4"/>
      <c r="CY30" s="4"/>
      <c r="CZ30" s="4"/>
      <c r="DA30" s="4"/>
      <c r="DB30" s="4"/>
      <c r="DC30" s="4"/>
      <c r="DD30" s="30"/>
      <c r="DE30" s="30"/>
      <c r="DF30" s="4"/>
      <c r="DG30" s="4"/>
      <c r="DH30" s="4"/>
      <c r="DI30" s="4"/>
      <c r="DJ30" s="4"/>
      <c r="DK30" s="4"/>
      <c r="DL30" s="30"/>
      <c r="DM30" s="30"/>
      <c r="DN30" s="30"/>
      <c r="DO30" s="30"/>
      <c r="DP30" s="9"/>
      <c r="DQ30" s="178"/>
      <c r="DR30" s="178"/>
      <c r="DS30" s="178"/>
      <c r="DT30" s="178"/>
      <c r="DU30" s="178"/>
      <c r="DV30" s="178"/>
      <c r="DW30" s="178"/>
      <c r="DX30" s="178"/>
      <c r="DY30" s="187"/>
      <c r="DZ30" s="178"/>
      <c r="EA30" s="178"/>
      <c r="EB30" s="178"/>
      <c r="EC30" s="178"/>
      <c r="ED30" s="178"/>
      <c r="EE30" s="178"/>
      <c r="EF30" s="178"/>
      <c r="EG30" s="178"/>
      <c r="EH30" s="187"/>
      <c r="EI30" s="178"/>
      <c r="EJ30" s="178"/>
      <c r="EK30" s="178"/>
      <c r="EL30" s="178"/>
      <c r="EM30" s="178"/>
      <c r="EN30" s="178"/>
      <c r="EO30" s="178"/>
      <c r="EP30" s="178"/>
      <c r="EQ30" s="187"/>
      <c r="ER30" s="178"/>
      <c r="ES30" s="178"/>
      <c r="ET30" s="178"/>
      <c r="EU30" s="178"/>
      <c r="EV30" s="178"/>
      <c r="EW30" s="178"/>
      <c r="EX30" s="178"/>
      <c r="EY30" s="178"/>
      <c r="EZ30" s="187"/>
      <c r="FA30" s="186"/>
      <c r="FB30" s="178"/>
      <c r="FC30" s="178"/>
      <c r="FD30" s="178"/>
      <c r="FE30" s="178"/>
      <c r="FF30" s="178"/>
      <c r="FG30" s="178"/>
      <c r="FH30" s="178"/>
      <c r="FI30" s="187"/>
      <c r="FJ30" s="189"/>
      <c r="FK30" s="178"/>
      <c r="FL30" s="178"/>
      <c r="FM30" s="178"/>
      <c r="FN30" s="178"/>
      <c r="FO30" s="178"/>
      <c r="FP30" s="178"/>
      <c r="FQ30" s="178"/>
      <c r="FR30" s="187"/>
      <c r="FS30" s="178"/>
      <c r="FT30" s="178"/>
      <c r="FU30" s="178"/>
      <c r="FV30" s="178"/>
      <c r="FW30" s="178"/>
      <c r="FX30" s="178"/>
      <c r="FY30" s="178"/>
      <c r="FZ30" s="178"/>
      <c r="GA30" s="187"/>
      <c r="GB30" s="178"/>
      <c r="GC30" s="178"/>
      <c r="GD30" s="178"/>
      <c r="GE30" s="178"/>
      <c r="GF30" s="178"/>
      <c r="GG30" s="178"/>
      <c r="GH30" s="178"/>
      <c r="GI30" s="178"/>
      <c r="GJ30" s="187"/>
      <c r="GK30" s="178"/>
      <c r="GL30" s="178"/>
      <c r="GM30" s="178"/>
      <c r="GN30" s="178"/>
      <c r="GO30" s="178"/>
      <c r="GP30" s="178"/>
      <c r="GQ30" s="178"/>
      <c r="GR30" s="178"/>
      <c r="GS30" s="187"/>
      <c r="GT30" s="178"/>
      <c r="GU30" s="178"/>
      <c r="GV30" s="178"/>
      <c r="GW30" s="178"/>
      <c r="GX30" s="178"/>
      <c r="GY30" s="178"/>
      <c r="GZ30" s="178"/>
      <c r="HA30" s="178"/>
      <c r="HB30" s="187"/>
      <c r="HC30" s="187"/>
      <c r="HD30" s="187"/>
      <c r="HE30" s="187"/>
      <c r="HF30" s="187"/>
      <c r="HG30" s="187"/>
      <c r="HH30" s="187"/>
      <c r="HI30" s="187"/>
      <c r="HJ30" s="187"/>
      <c r="HK30" s="187"/>
      <c r="HL30" s="187"/>
      <c r="HM30" s="187"/>
      <c r="HN30" s="187"/>
      <c r="HO30" s="187"/>
      <c r="HP30" s="187"/>
      <c r="HQ30" s="187"/>
      <c r="HR30" s="187"/>
      <c r="HS30" s="187"/>
      <c r="HT30" s="185"/>
      <c r="HU30" s="187"/>
      <c r="HV30" s="183"/>
      <c r="HW30" s="4"/>
      <c r="HX30" s="4"/>
      <c r="HY30" s="4"/>
      <c r="HZ30" s="4"/>
      <c r="IA30" s="4"/>
      <c r="IB30" s="4"/>
      <c r="IC30" s="197">
        <v>206</v>
      </c>
      <c r="ID30" s="198">
        <f>COUNTIF(ID11:ID20, 2016)</f>
        <v>0</v>
      </c>
      <c r="IE30" s="4"/>
      <c r="IF30" s="4"/>
      <c r="IG30" s="4"/>
      <c r="IH30" s="715" t="s">
        <v>96</v>
      </c>
      <c r="II30" s="716">
        <f>IJ24</f>
        <v>0</v>
      </c>
      <c r="IJ30" s="29"/>
      <c r="IK30" s="4"/>
      <c r="IL30" s="4"/>
      <c r="IM30" s="4"/>
      <c r="IN30" s="4"/>
      <c r="IO30" s="178"/>
      <c r="IP30" s="178"/>
      <c r="IQ30" s="186"/>
      <c r="IR30" s="178"/>
      <c r="IS30" s="188"/>
      <c r="IT30" s="178"/>
      <c r="IU30" s="4"/>
      <c r="IV30" s="4"/>
    </row>
    <row r="31" spans="1:256" hidden="1">
      <c r="AM31" s="454">
        <f>COUNTIF($AN$11:$AN$20, "Energy Regulatory Commission")</f>
        <v>0</v>
      </c>
      <c r="AN31" s="455" t="s">
        <v>674</v>
      </c>
      <c r="AO31" s="725"/>
      <c r="AP31" s="725"/>
      <c r="IH31" s="715" t="s">
        <v>25</v>
      </c>
      <c r="II31" s="716">
        <f>IK24</f>
        <v>0</v>
      </c>
    </row>
    <row r="32" spans="1:256" ht="31.2" hidden="1">
      <c r="AM32" s="454">
        <f>COUNTIF($AN$11:$AN$20, "Film Development Council of the Philippines")</f>
        <v>0</v>
      </c>
      <c r="AN32" s="455" t="s">
        <v>679</v>
      </c>
      <c r="AO32" s="725"/>
      <c r="AP32" s="725"/>
      <c r="IH32" s="715" t="s">
        <v>855</v>
      </c>
      <c r="II32" s="716">
        <f>IL24</f>
        <v>0</v>
      </c>
    </row>
    <row r="33" spans="39:243" hidden="1">
      <c r="AM33" s="454">
        <f>COUNTIF($AN$11:$AN$20, "HLURB")</f>
        <v>0</v>
      </c>
      <c r="AN33" s="455" t="s">
        <v>566</v>
      </c>
      <c r="AO33" s="725"/>
      <c r="AP33" s="725"/>
    </row>
    <row r="34" spans="39:243" hidden="1">
      <c r="AM34" s="454">
        <f>COUNTIF($AN$11:$AN$20, "National Archives of the Philippines")</f>
        <v>0</v>
      </c>
      <c r="AN34" s="455" t="s">
        <v>675</v>
      </c>
      <c r="AO34" s="725"/>
      <c r="AP34" s="725"/>
      <c r="IH34" s="29" t="s">
        <v>202</v>
      </c>
      <c r="II34" s="404">
        <f>SUM(II28:II32)</f>
        <v>0</v>
      </c>
    </row>
    <row r="35" spans="39:243" hidden="1">
      <c r="AM35" s="454">
        <f>COUNTIF($AN$11:$AN$20, "National Historical Commission of the Philippines")</f>
        <v>0</v>
      </c>
      <c r="AN35" s="455" t="s">
        <v>665</v>
      </c>
      <c r="AO35" s="725"/>
      <c r="AP35" s="725"/>
    </row>
    <row r="36" spans="39:243" hidden="1">
      <c r="AM36" s="454">
        <f>COUNTIF($AN$11:$AN$20, "National Library of the Philippines")</f>
        <v>0</v>
      </c>
      <c r="AN36" s="455" t="s">
        <v>698</v>
      </c>
      <c r="AO36" s="725"/>
      <c r="AP36" s="725"/>
    </row>
    <row r="37" spans="39:243" hidden="1">
      <c r="AM37" s="454">
        <f>COUNTIF($AN$11:$AN$20, "NDRRMC")</f>
        <v>0</v>
      </c>
      <c r="AN37" s="455" t="s">
        <v>764</v>
      </c>
      <c r="AO37" s="725"/>
      <c r="AP37" s="725"/>
    </row>
    <row r="38" spans="39:243" hidden="1">
      <c r="AM38" s="454">
        <f>COUNTIF($AN$11:$AN$20, "NICA")</f>
        <v>0</v>
      </c>
      <c r="AN38" s="455" t="s">
        <v>676</v>
      </c>
      <c r="AO38" s="725"/>
      <c r="AP38" s="725"/>
    </row>
    <row r="39" spans="39:243" ht="16.2" hidden="1" thickBot="1">
      <c r="AM39" s="456">
        <f>COUNTIF($AN$11:$AN$20, "PDEA")</f>
        <v>0</v>
      </c>
      <c r="AN39" s="457" t="s">
        <v>681</v>
      </c>
      <c r="AO39" s="725"/>
      <c r="AP39" s="725"/>
    </row>
    <row r="40" spans="39:243" ht="16.2" hidden="1" thickTop="1">
      <c r="AM40" s="8">
        <f>SUM(AM30:AM39)</f>
        <v>0</v>
      </c>
      <c r="AN40" s="4" t="s">
        <v>202</v>
      </c>
    </row>
  </sheetData>
  <autoFilter ref="B10:IR20">
    <sortState ref="B10:HP3266">
      <sortCondition ref="AN9:AN3266"/>
    </sortState>
  </autoFilter>
  <dataConsolidate/>
  <mergeCells count="86">
    <mergeCell ref="HC6:HK6"/>
    <mergeCell ref="HC7:HK7"/>
    <mergeCell ref="GT7:HB7"/>
    <mergeCell ref="HL7:HT7"/>
    <mergeCell ref="IN6:IN8"/>
    <mergeCell ref="IE6:IE8"/>
    <mergeCell ref="IF6:IF8"/>
    <mergeCell ref="HW6:HW8"/>
    <mergeCell ref="HX6:HX8"/>
    <mergeCell ref="HY6:HY8"/>
    <mergeCell ref="HZ6:HZ8"/>
    <mergeCell ref="IA6:IA8"/>
    <mergeCell ref="IB6:IB8"/>
    <mergeCell ref="IC6:IC8"/>
    <mergeCell ref="ID6:ID8"/>
    <mergeCell ref="CA6:CA8"/>
    <mergeCell ref="CB6:CB8"/>
    <mergeCell ref="FJ7:FR7"/>
    <mergeCell ref="GB7:GJ7"/>
    <mergeCell ref="GK7:GS7"/>
    <mergeCell ref="FJ6:FR6"/>
    <mergeCell ref="GB6:GJ6"/>
    <mergeCell ref="FA6:FI6"/>
    <mergeCell ref="EI7:EQ7"/>
    <mergeCell ref="ER7:EZ7"/>
    <mergeCell ref="CJ6:CJ8"/>
    <mergeCell ref="DO6:DO8"/>
    <mergeCell ref="GK6:GS6"/>
    <mergeCell ref="FA7:FI7"/>
    <mergeCell ref="CL6:CL8"/>
    <mergeCell ref="CK6:CK8"/>
    <mergeCell ref="AM6:AN7"/>
    <mergeCell ref="AV6:BA7"/>
    <mergeCell ref="BH6:BH8"/>
    <mergeCell ref="BI6:BY7"/>
    <mergeCell ref="HV6:HV8"/>
    <mergeCell ref="CU6:CU8"/>
    <mergeCell ref="DP6:DP8"/>
    <mergeCell ref="CM6:CM8"/>
    <mergeCell ref="CN6:CN8"/>
    <mergeCell ref="CO6:CO8"/>
    <mergeCell ref="CT6:CT8"/>
    <mergeCell ref="CR6:CR8"/>
    <mergeCell ref="CQ6:CQ8"/>
    <mergeCell ref="CP6:CP8"/>
    <mergeCell ref="CS6:CS8"/>
    <mergeCell ref="DZ7:EH7"/>
    <mergeCell ref="BZ6:BZ8"/>
    <mergeCell ref="AQ6:AQ8"/>
    <mergeCell ref="AO6:AO8"/>
    <mergeCell ref="AP6:AP8"/>
    <mergeCell ref="BB6:BB8"/>
    <mergeCell ref="BC6:BC8"/>
    <mergeCell ref="BD6:BG7"/>
    <mergeCell ref="D6:AL7"/>
    <mergeCell ref="CV6:CV8"/>
    <mergeCell ref="EI6:EQ6"/>
    <mergeCell ref="ER6:EZ6"/>
    <mergeCell ref="C6:C8"/>
    <mergeCell ref="AR6:AR8"/>
    <mergeCell ref="AS6:AS8"/>
    <mergeCell ref="AT6:AT8"/>
    <mergeCell ref="CI6:CI8"/>
    <mergeCell ref="AU6:AU8"/>
    <mergeCell ref="CC6:CH7"/>
    <mergeCell ref="DD6:DD8"/>
    <mergeCell ref="CW6:DC7"/>
    <mergeCell ref="DE6:DK7"/>
    <mergeCell ref="DL6:DL8"/>
    <mergeCell ref="DZ6:EH6"/>
    <mergeCell ref="DM6:DM8"/>
    <mergeCell ref="IP6:IP8"/>
    <mergeCell ref="IQ6:IQ8"/>
    <mergeCell ref="IU6:IV7"/>
    <mergeCell ref="IO6:IO8"/>
    <mergeCell ref="IS6:IS8"/>
    <mergeCell ref="IT6:IT8"/>
    <mergeCell ref="IR6:IR8"/>
    <mergeCell ref="DQ6:DY6"/>
    <mergeCell ref="DQ7:DY7"/>
    <mergeCell ref="DN6:DN8"/>
    <mergeCell ref="GT6:HB6"/>
    <mergeCell ref="HL6:HT6"/>
    <mergeCell ref="HU6:HU8"/>
    <mergeCell ref="FS6:GA6"/>
    <mergeCell ref="FS7:GA7"/>
  </mergeCells>
  <conditionalFormatting sqref="C11">
    <cfRule type="duplicateValues" dxfId="57" priority="491"/>
  </conditionalFormatting>
  <conditionalFormatting sqref="C11">
    <cfRule type="duplicateValues" dxfId="56" priority="492"/>
  </conditionalFormatting>
  <conditionalFormatting sqref="C12">
    <cfRule type="duplicateValues" dxfId="55" priority="28"/>
  </conditionalFormatting>
  <conditionalFormatting sqref="C12">
    <cfRule type="duplicateValues" dxfId="54" priority="29"/>
  </conditionalFormatting>
  <conditionalFormatting sqref="C12">
    <cfRule type="duplicateValues" dxfId="53" priority="30"/>
  </conditionalFormatting>
  <conditionalFormatting sqref="C13">
    <cfRule type="duplicateValues" dxfId="52" priority="25"/>
  </conditionalFormatting>
  <conditionalFormatting sqref="C13">
    <cfRule type="duplicateValues" dxfId="51" priority="26"/>
  </conditionalFormatting>
  <conditionalFormatting sqref="C13">
    <cfRule type="duplicateValues" dxfId="50" priority="27"/>
  </conditionalFormatting>
  <conditionalFormatting sqref="C14">
    <cfRule type="duplicateValues" dxfId="49" priority="19"/>
  </conditionalFormatting>
  <conditionalFormatting sqref="C14">
    <cfRule type="duplicateValues" dxfId="48" priority="20"/>
  </conditionalFormatting>
  <conditionalFormatting sqref="C14">
    <cfRule type="duplicateValues" dxfId="47" priority="21"/>
  </conditionalFormatting>
  <conditionalFormatting sqref="C15">
    <cfRule type="duplicateValues" dxfId="46" priority="16"/>
  </conditionalFormatting>
  <conditionalFormatting sqref="C15">
    <cfRule type="duplicateValues" dxfId="45" priority="17"/>
  </conditionalFormatting>
  <conditionalFormatting sqref="C15">
    <cfRule type="duplicateValues" dxfId="44" priority="18"/>
  </conditionalFormatting>
  <conditionalFormatting sqref="C16">
    <cfRule type="duplicateValues" dxfId="43" priority="13"/>
  </conditionalFormatting>
  <conditionalFormatting sqref="C16">
    <cfRule type="duplicateValues" dxfId="42" priority="14"/>
  </conditionalFormatting>
  <conditionalFormatting sqref="C16">
    <cfRule type="duplicateValues" dxfId="41" priority="15"/>
  </conditionalFormatting>
  <conditionalFormatting sqref="C17">
    <cfRule type="duplicateValues" dxfId="40" priority="10"/>
  </conditionalFormatting>
  <conditionalFormatting sqref="C17">
    <cfRule type="duplicateValues" dxfId="39" priority="11"/>
  </conditionalFormatting>
  <conditionalFormatting sqref="C17">
    <cfRule type="duplicateValues" dxfId="38" priority="12"/>
  </conditionalFormatting>
  <conditionalFormatting sqref="C18">
    <cfRule type="duplicateValues" dxfId="37" priority="7"/>
  </conditionalFormatting>
  <conditionalFormatting sqref="C18">
    <cfRule type="duplicateValues" dxfId="36" priority="8"/>
  </conditionalFormatting>
  <conditionalFormatting sqref="C18">
    <cfRule type="duplicateValues" dxfId="35" priority="9"/>
  </conditionalFormatting>
  <conditionalFormatting sqref="C19">
    <cfRule type="duplicateValues" dxfId="34" priority="4"/>
  </conditionalFormatting>
  <conditionalFormatting sqref="C19">
    <cfRule type="duplicateValues" dxfId="33" priority="5"/>
  </conditionalFormatting>
  <conditionalFormatting sqref="C19">
    <cfRule type="duplicateValues" dxfId="32" priority="6"/>
  </conditionalFormatting>
  <conditionalFormatting sqref="C20">
    <cfRule type="duplicateValues" dxfId="31" priority="1"/>
  </conditionalFormatting>
  <conditionalFormatting sqref="C20">
    <cfRule type="duplicateValues" dxfId="30" priority="2"/>
  </conditionalFormatting>
  <conditionalFormatting sqref="C20">
    <cfRule type="duplicateValues" dxfId="29" priority="3"/>
  </conditionalFormatting>
  <conditionalFormatting sqref="C11">
    <cfRule type="duplicateValues" dxfId="28" priority="493"/>
  </conditionalFormatting>
  <dataValidations count="7">
    <dataValidation type="list" allowBlank="1" showInputMessage="1" showErrorMessage="1" sqref="BH11:BH20">
      <formula1>spatial</formula1>
    </dataValidation>
    <dataValidation type="list" allowBlank="1" showInputMessage="1" showErrorMessage="1" sqref="BC11:BC20">
      <formula1>INDIRECT(SUBSTITUTE($BB11, " ", ""))</formula1>
    </dataValidation>
    <dataValidation type="list" allowBlank="1" showInputMessage="1" showErrorMessage="1" sqref="CI11:CI20">
      <formula1>IF(CJ11="", Outcomes, INDIRECT("FakeRange"))</formula1>
    </dataValidation>
    <dataValidation type="list" allowBlank="1" showInputMessage="1" showErrorMessage="1" sqref="BB11:BB20">
      <formula1>IF(BC11="", sector, INDIRECT("Fakerange"))</formula1>
    </dataValidation>
    <dataValidation type="list" allowBlank="1" showInputMessage="1" showErrorMessage="1" sqref="CJ11:CJ20">
      <formula1>INDIRECT(SUBSTITUTE($CI11, " ", ""))</formula1>
    </dataValidation>
    <dataValidation type="list" allowBlank="1" showInputMessage="1" showErrorMessage="1" sqref="IN11:IN20">
      <formula1>Project_Status</formula1>
    </dataValidation>
    <dataValidation type="list" allowBlank="1" showInputMessage="1" showErrorMessage="1" sqref="AU11:AU20">
      <formula1>infratype</formula1>
    </dataValidation>
  </dataValidations>
  <pageMargins left="0.7" right="0.7" top="0.75" bottom="0.75" header="0.3" footer="0.3"/>
  <pageSetup paperSize="8" scale="94" orientation="landscape" r:id="rId1"/>
  <headerFooter differentFirst="1">
    <firstHeader>&amp;R&amp;"-,Bold"&amp;24ANNEX A</firstHeader>
  </headerFooter>
  <colBreaks count="2" manualBreakCount="2">
    <brk id="79" max="19" man="1"/>
    <brk id="120" max="19"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P2112"/>
  <sheetViews>
    <sheetView showGridLines="0" zoomScale="85" zoomScaleNormal="85" workbookViewId="0">
      <selection activeCell="I495" sqref="I495"/>
    </sheetView>
  </sheetViews>
  <sheetFormatPr defaultColWidth="0" defaultRowHeight="14.4" zeroHeight="1" outlineLevelRow="1"/>
  <cols>
    <col min="1" max="1" width="8.88671875" customWidth="1"/>
    <col min="2" max="2" width="6.6640625" hidden="1" customWidth="1"/>
    <col min="3" max="3" width="31.33203125" customWidth="1"/>
    <col min="4" max="4" width="21.5546875" customWidth="1"/>
    <col min="5" max="11" width="22.6640625" customWidth="1"/>
    <col min="12" max="12" width="29.33203125" customWidth="1"/>
    <col min="13" max="13" width="20.88671875" customWidth="1"/>
    <col min="14" max="14" width="26.109375" customWidth="1"/>
    <col min="15" max="15" width="8" style="67" customWidth="1"/>
    <col min="16" max="16" width="8.5546875" style="68" hidden="1" customWidth="1"/>
    <col min="17" max="17" width="8.5546875" style="67" hidden="1" customWidth="1"/>
    <col min="18" max="21" width="8.88671875" style="67" hidden="1" customWidth="1"/>
    <col min="22" max="22" width="8.88671875" style="69" hidden="1" customWidth="1"/>
    <col min="23" max="23" width="8.88671875" style="67" hidden="1" customWidth="1"/>
    <col min="24" max="24" width="8.88671875" style="119" hidden="1" customWidth="1"/>
    <col min="25" max="25" width="8.44140625" style="119" hidden="1" customWidth="1"/>
    <col min="26" max="26" width="9.5546875" style="119" hidden="1" customWidth="1"/>
    <col min="27" max="27" width="10.6640625" style="67" hidden="1" customWidth="1"/>
    <col min="28" max="28" width="16.5546875" style="67" hidden="1" customWidth="1"/>
    <col min="29" max="29" width="8.88671875" style="67" hidden="1" customWidth="1"/>
    <col min="30" max="30" width="25.109375" style="67" hidden="1" customWidth="1"/>
    <col min="31" max="31" width="20.6640625" style="67" hidden="1" customWidth="1"/>
    <col min="32" max="16384" width="8.88671875" style="67" hidden="1"/>
  </cols>
  <sheetData>
    <row r="1" spans="1:35" ht="27.6" customHeight="1" thickBot="1">
      <c r="A1" s="98" t="s">
        <v>434</v>
      </c>
      <c r="B1" s="99"/>
      <c r="C1" s="99"/>
      <c r="D1" s="99"/>
      <c r="E1" s="99"/>
      <c r="F1" s="99"/>
      <c r="G1" s="99"/>
      <c r="H1" s="99"/>
      <c r="I1" s="99"/>
      <c r="J1" s="99"/>
      <c r="K1" s="99"/>
      <c r="L1" s="99"/>
      <c r="M1" s="99"/>
      <c r="N1" s="99"/>
    </row>
    <row r="2" spans="1:35" ht="18">
      <c r="A2" s="77"/>
      <c r="B2" s="78"/>
      <c r="C2" s="79" t="s">
        <v>284</v>
      </c>
      <c r="D2" s="78"/>
      <c r="E2" s="78" t="s">
        <v>238</v>
      </c>
      <c r="F2" s="78"/>
      <c r="G2" s="78"/>
      <c r="H2" s="78"/>
      <c r="I2" s="78"/>
      <c r="J2" s="78"/>
      <c r="K2" s="78"/>
      <c r="L2" s="78"/>
      <c r="M2" s="78"/>
      <c r="N2" s="80"/>
    </row>
    <row r="3" spans="1:35" ht="15" outlineLevel="1" thickBot="1">
      <c r="A3" s="81"/>
      <c r="B3" s="61"/>
      <c r="C3" s="88"/>
      <c r="D3" s="61"/>
      <c r="E3" s="61"/>
      <c r="F3" s="61"/>
      <c r="G3" s="61"/>
      <c r="H3" s="61"/>
      <c r="I3" s="61"/>
      <c r="J3" s="61"/>
      <c r="K3" s="61"/>
      <c r="L3" s="61"/>
      <c r="M3" s="61"/>
      <c r="N3" s="82"/>
    </row>
    <row r="4" spans="1:35" s="73" customFormat="1" ht="29.4" outlineLevel="1" thickBot="1">
      <c r="A4" s="83"/>
      <c r="B4" s="84"/>
      <c r="C4" s="71" t="s">
        <v>239</v>
      </c>
      <c r="D4" s="96" t="s">
        <v>240</v>
      </c>
      <c r="E4" s="107">
        <v>2013</v>
      </c>
      <c r="F4" s="107">
        <v>2014</v>
      </c>
      <c r="G4" s="107">
        <v>2015</v>
      </c>
      <c r="H4" s="107">
        <v>2016</v>
      </c>
      <c r="I4" s="107" t="s">
        <v>290</v>
      </c>
      <c r="J4" s="107" t="s">
        <v>301</v>
      </c>
      <c r="K4" s="72" t="s">
        <v>300</v>
      </c>
      <c r="L4" s="84"/>
      <c r="M4" s="84"/>
      <c r="N4" s="89"/>
      <c r="P4" s="74"/>
      <c r="X4" s="120"/>
      <c r="Y4" s="120"/>
      <c r="Z4" s="120"/>
    </row>
    <row r="5" spans="1:35" outlineLevel="1">
      <c r="A5" s="81">
        <v>1</v>
      </c>
      <c r="B5" s="61"/>
      <c r="C5" s="57" t="s">
        <v>108</v>
      </c>
      <c r="D5" s="58">
        <f>'CIIP 2016 Revised Format'!S$24</f>
        <v>0</v>
      </c>
      <c r="E5" s="108" t="e">
        <f>'CIIP 2016 Revised Format'!#REF!</f>
        <v>#REF!</v>
      </c>
      <c r="F5" s="108" t="e">
        <f>'CIIP 2016 Revised Format'!#REF!</f>
        <v>#REF!</v>
      </c>
      <c r="G5" s="108" t="e">
        <f>'CIIP 2016 Revised Format'!#REF!</f>
        <v>#REF!</v>
      </c>
      <c r="H5" s="108" t="e">
        <f>'CIIP 2016 Revised Format'!#REF!</f>
        <v>#REF!</v>
      </c>
      <c r="I5" s="108" t="e">
        <f>'CIIP 2016 Revised Format'!#REF!</f>
        <v>#REF!</v>
      </c>
      <c r="J5" s="108" t="e">
        <f>'CIIP 2016 Revised Format'!#REF!</f>
        <v>#REF!</v>
      </c>
      <c r="K5" s="127" t="e">
        <f>'CIIP 2016 Revised Format'!#REF!</f>
        <v>#REF!</v>
      </c>
      <c r="L5" s="63"/>
      <c r="M5" s="63"/>
      <c r="N5" s="115"/>
      <c r="O5" s="116"/>
      <c r="R5" s="69"/>
      <c r="X5" s="121" t="s">
        <v>243</v>
      </c>
      <c r="Y5" s="121" t="s">
        <v>261</v>
      </c>
      <c r="Z5" s="121" t="str">
        <f t="shared" ref="Z5:Z16" si="0">CONCATENATE(X5,Y5)</f>
        <v>JE</v>
      </c>
      <c r="AA5" s="75" t="s">
        <v>292</v>
      </c>
      <c r="AB5" s="75" t="s">
        <v>265</v>
      </c>
      <c r="AC5" s="76" t="str">
        <f t="shared" ref="AC5:AC39" si="1">CONCATENATE(Z5,AA5)</f>
        <v>JE$1321</v>
      </c>
      <c r="AD5" s="69" t="str">
        <f t="shared" ref="AD5:AD39" si="2">CONCATENATE(AB5,AC5)</f>
        <v>=Consolidated!JE$1321</v>
      </c>
      <c r="AE5" s="122" t="s">
        <v>335</v>
      </c>
      <c r="AG5" s="67">
        <v>1</v>
      </c>
    </row>
    <row r="6" spans="1:35" outlineLevel="1">
      <c r="A6" s="81">
        <v>2</v>
      </c>
      <c r="B6" s="61"/>
      <c r="C6" s="51" t="s">
        <v>84</v>
      </c>
      <c r="D6" s="53">
        <f>'CIIP 2016 Revised Format'!R$24</f>
        <v>0</v>
      </c>
      <c r="E6" s="109" t="e">
        <f>'CIIP 2016 Revised Format'!#REF!</f>
        <v>#REF!</v>
      </c>
      <c r="F6" s="109" t="e">
        <f>'CIIP 2016 Revised Format'!#REF!</f>
        <v>#REF!</v>
      </c>
      <c r="G6" s="109" t="e">
        <f>'CIIP 2016 Revised Format'!#REF!</f>
        <v>#REF!</v>
      </c>
      <c r="H6" s="109" t="e">
        <f>'CIIP 2016 Revised Format'!#REF!</f>
        <v>#REF!</v>
      </c>
      <c r="I6" s="109" t="e">
        <f>'CIIP 2016 Revised Format'!#REF!</f>
        <v>#REF!</v>
      </c>
      <c r="J6" s="109" t="e">
        <f>'CIIP 2016 Revised Format'!#REF!</f>
        <v>#REF!</v>
      </c>
      <c r="K6" s="56" t="e">
        <f>'CIIP 2016 Revised Format'!#REF!</f>
        <v>#REF!</v>
      </c>
      <c r="L6" s="63"/>
      <c r="M6" s="63"/>
      <c r="N6" s="115"/>
      <c r="O6" s="116"/>
      <c r="R6" s="69"/>
      <c r="X6" s="121" t="s">
        <v>243</v>
      </c>
      <c r="Y6" s="121" t="s">
        <v>262</v>
      </c>
      <c r="Z6" s="121" t="str">
        <f t="shared" si="0"/>
        <v>JF</v>
      </c>
      <c r="AA6" s="75" t="s">
        <v>292</v>
      </c>
      <c r="AB6" s="75" t="s">
        <v>265</v>
      </c>
      <c r="AC6" s="76" t="str">
        <f t="shared" si="1"/>
        <v>JF$1321</v>
      </c>
      <c r="AD6" s="69" t="str">
        <f t="shared" si="2"/>
        <v>=Consolidated!JF$1321</v>
      </c>
      <c r="AE6" s="122" t="s">
        <v>336</v>
      </c>
      <c r="AG6" s="67">
        <v>2</v>
      </c>
    </row>
    <row r="7" spans="1:35" outlineLevel="1">
      <c r="A7" s="81">
        <v>3</v>
      </c>
      <c r="B7" s="61"/>
      <c r="C7" s="51" t="s">
        <v>192</v>
      </c>
      <c r="D7" s="53">
        <f>'CIIP 2016 Revised Format'!M$24</f>
        <v>0</v>
      </c>
      <c r="E7" s="109" t="e">
        <f>'CIIP 2016 Revised Format'!#REF!</f>
        <v>#REF!</v>
      </c>
      <c r="F7" s="109" t="e">
        <f>'CIIP 2016 Revised Format'!#REF!</f>
        <v>#REF!</v>
      </c>
      <c r="G7" s="109" t="e">
        <f>'CIIP 2016 Revised Format'!#REF!</f>
        <v>#REF!</v>
      </c>
      <c r="H7" s="109" t="e">
        <f>'CIIP 2016 Revised Format'!#REF!</f>
        <v>#REF!</v>
      </c>
      <c r="I7" s="109" t="e">
        <f>'CIIP 2016 Revised Format'!#REF!</f>
        <v>#REF!</v>
      </c>
      <c r="J7" s="109" t="e">
        <f>'CIIP 2016 Revised Format'!#REF!</f>
        <v>#REF!</v>
      </c>
      <c r="K7" s="56" t="e">
        <f>'CIIP 2016 Revised Format'!#REF!</f>
        <v>#REF!</v>
      </c>
      <c r="L7" s="63"/>
      <c r="M7" s="63"/>
      <c r="N7" s="115"/>
      <c r="O7" s="116"/>
      <c r="R7" s="69"/>
      <c r="X7" s="121" t="s">
        <v>243</v>
      </c>
      <c r="Y7" s="121" t="s">
        <v>264</v>
      </c>
      <c r="Z7" s="121" t="str">
        <f t="shared" si="0"/>
        <v>JG</v>
      </c>
      <c r="AA7" s="75" t="s">
        <v>292</v>
      </c>
      <c r="AB7" s="75" t="s">
        <v>265</v>
      </c>
      <c r="AC7" s="76" t="str">
        <f t="shared" si="1"/>
        <v>JG$1321</v>
      </c>
      <c r="AD7" s="69" t="str">
        <f t="shared" si="2"/>
        <v>=Consolidated!JG$1321</v>
      </c>
      <c r="AE7" s="122" t="s">
        <v>337</v>
      </c>
      <c r="AG7" s="67">
        <v>3</v>
      </c>
    </row>
    <row r="8" spans="1:35" outlineLevel="1">
      <c r="A8" s="81">
        <v>4</v>
      </c>
      <c r="B8" s="61"/>
      <c r="C8" s="51" t="s">
        <v>80</v>
      </c>
      <c r="D8" s="53">
        <f>'CIIP 2016 Revised Format'!O$24</f>
        <v>0</v>
      </c>
      <c r="E8" s="109" t="e">
        <f>'CIIP 2016 Revised Format'!#REF!</f>
        <v>#REF!</v>
      </c>
      <c r="F8" s="109" t="e">
        <f>'CIIP 2016 Revised Format'!#REF!</f>
        <v>#REF!</v>
      </c>
      <c r="G8" s="109" t="e">
        <f>'CIIP 2016 Revised Format'!#REF!</f>
        <v>#REF!</v>
      </c>
      <c r="H8" s="109" t="e">
        <f>'CIIP 2016 Revised Format'!#REF!</f>
        <v>#REF!</v>
      </c>
      <c r="I8" s="109" t="e">
        <f>'CIIP 2016 Revised Format'!#REF!</f>
        <v>#REF!</v>
      </c>
      <c r="J8" s="109" t="e">
        <f>'CIIP 2016 Revised Format'!#REF!</f>
        <v>#REF!</v>
      </c>
      <c r="K8" s="56" t="e">
        <f>'CIIP 2016 Revised Format'!#REF!</f>
        <v>#REF!</v>
      </c>
      <c r="L8" s="63"/>
      <c r="M8" s="63"/>
      <c r="N8" s="115"/>
      <c r="O8" s="116"/>
      <c r="R8" s="69"/>
      <c r="X8" s="121" t="s">
        <v>243</v>
      </c>
      <c r="Y8" s="121" t="s">
        <v>263</v>
      </c>
      <c r="Z8" s="121" t="str">
        <f t="shared" si="0"/>
        <v>JH</v>
      </c>
      <c r="AA8" s="75" t="s">
        <v>292</v>
      </c>
      <c r="AB8" s="75" t="s">
        <v>265</v>
      </c>
      <c r="AC8" s="76" t="str">
        <f t="shared" si="1"/>
        <v>JH$1321</v>
      </c>
      <c r="AD8" s="69" t="str">
        <f t="shared" si="2"/>
        <v>=Consolidated!JH$1321</v>
      </c>
      <c r="AE8" s="122" t="s">
        <v>338</v>
      </c>
      <c r="AG8" s="67">
        <v>4</v>
      </c>
    </row>
    <row r="9" spans="1:35" outlineLevel="1">
      <c r="A9" s="81">
        <v>5</v>
      </c>
      <c r="B9" s="61"/>
      <c r="C9" s="51" t="s">
        <v>83</v>
      </c>
      <c r="D9" s="53">
        <f>'CIIP 2016 Revised Format'!K$24</f>
        <v>0</v>
      </c>
      <c r="E9" s="109" t="e">
        <f>'CIIP 2016 Revised Format'!#REF!</f>
        <v>#REF!</v>
      </c>
      <c r="F9" s="109" t="e">
        <f>'CIIP 2016 Revised Format'!#REF!</f>
        <v>#REF!</v>
      </c>
      <c r="G9" s="109" t="e">
        <f>'CIIP 2016 Revised Format'!#REF!</f>
        <v>#REF!</v>
      </c>
      <c r="H9" s="109" t="e">
        <f>'CIIP 2016 Revised Format'!#REF!</f>
        <v>#REF!</v>
      </c>
      <c r="I9" s="109" t="e">
        <f>'CIIP 2016 Revised Format'!#REF!</f>
        <v>#REF!</v>
      </c>
      <c r="J9" s="109" t="e">
        <f>'CIIP 2016 Revised Format'!#REF!</f>
        <v>#REF!</v>
      </c>
      <c r="K9" s="56" t="e">
        <f>'CIIP 2016 Revised Format'!#REF!</f>
        <v>#REF!</v>
      </c>
      <c r="L9" s="63"/>
      <c r="M9" s="63"/>
      <c r="N9" s="115"/>
      <c r="O9" s="116"/>
      <c r="R9" s="69"/>
      <c r="X9" s="121" t="s">
        <v>243</v>
      </c>
      <c r="Y9" s="121" t="s">
        <v>204</v>
      </c>
      <c r="Z9" s="121" t="str">
        <f t="shared" si="0"/>
        <v>JI</v>
      </c>
      <c r="AA9" s="75" t="s">
        <v>292</v>
      </c>
      <c r="AB9" s="75" t="s">
        <v>265</v>
      </c>
      <c r="AC9" s="76" t="str">
        <f t="shared" si="1"/>
        <v>JI$1321</v>
      </c>
      <c r="AD9" s="69" t="str">
        <f t="shared" si="2"/>
        <v>=Consolidated!JI$1321</v>
      </c>
      <c r="AE9" s="122" t="s">
        <v>339</v>
      </c>
      <c r="AG9" s="67">
        <v>5</v>
      </c>
    </row>
    <row r="10" spans="1:35" outlineLevel="1">
      <c r="A10" s="81">
        <v>6</v>
      </c>
      <c r="B10" s="61"/>
      <c r="C10" s="51" t="s">
        <v>228</v>
      </c>
      <c r="D10" s="53">
        <f>'CIIP 2016 Revised Format'!AA$24</f>
        <v>0</v>
      </c>
      <c r="E10" s="109" t="e">
        <f>'CIIP 2016 Revised Format'!#REF!</f>
        <v>#REF!</v>
      </c>
      <c r="F10" s="109" t="e">
        <f>'CIIP 2016 Revised Format'!#REF!</f>
        <v>#REF!</v>
      </c>
      <c r="G10" s="109" t="e">
        <f>'CIIP 2016 Revised Format'!#REF!</f>
        <v>#REF!</v>
      </c>
      <c r="H10" s="109" t="e">
        <f>'CIIP 2016 Revised Format'!#REF!</f>
        <v>#REF!</v>
      </c>
      <c r="I10" s="109" t="e">
        <f>'CIIP 2016 Revised Format'!#REF!</f>
        <v>#REF!</v>
      </c>
      <c r="J10" s="109" t="e">
        <f>'CIIP 2016 Revised Format'!#REF!</f>
        <v>#REF!</v>
      </c>
      <c r="K10" s="56" t="e">
        <f>'CIIP 2016 Revised Format'!#REF!</f>
        <v>#REF!</v>
      </c>
      <c r="L10" s="63"/>
      <c r="M10" s="63"/>
      <c r="N10" s="115"/>
      <c r="O10" s="116"/>
      <c r="R10" s="69"/>
      <c r="X10" s="121" t="s">
        <v>243</v>
      </c>
      <c r="Y10" s="121" t="s">
        <v>243</v>
      </c>
      <c r="Z10" s="121" t="str">
        <f t="shared" si="0"/>
        <v>JJ</v>
      </c>
      <c r="AA10" s="75" t="s">
        <v>292</v>
      </c>
      <c r="AB10" s="75" t="s">
        <v>265</v>
      </c>
      <c r="AC10" s="76" t="str">
        <f t="shared" si="1"/>
        <v>JJ$1321</v>
      </c>
      <c r="AD10" s="69" t="str">
        <f t="shared" si="2"/>
        <v>=Consolidated!JJ$1321</v>
      </c>
      <c r="AE10" s="122" t="s">
        <v>340</v>
      </c>
      <c r="AG10" s="67">
        <v>6</v>
      </c>
    </row>
    <row r="11" spans="1:35" outlineLevel="1">
      <c r="A11" s="81">
        <v>7</v>
      </c>
      <c r="B11" s="61"/>
      <c r="C11" s="51" t="s">
        <v>168</v>
      </c>
      <c r="D11" s="53">
        <f>'CIIP 2016 Revised Format'!E$24</f>
        <v>0</v>
      </c>
      <c r="E11" s="109" t="e">
        <f>'CIIP 2016 Revised Format'!#REF!</f>
        <v>#REF!</v>
      </c>
      <c r="F11" s="109" t="e">
        <f>'CIIP 2016 Revised Format'!#REF!</f>
        <v>#REF!</v>
      </c>
      <c r="G11" s="109" t="e">
        <f>'CIIP 2016 Revised Format'!#REF!</f>
        <v>#REF!</v>
      </c>
      <c r="H11" s="109" t="e">
        <f>'CIIP 2016 Revised Format'!#REF!</f>
        <v>#REF!</v>
      </c>
      <c r="I11" s="109" t="e">
        <f>'CIIP 2016 Revised Format'!#REF!</f>
        <v>#REF!</v>
      </c>
      <c r="J11" s="109" t="e">
        <f>'CIIP 2016 Revised Format'!#REF!</f>
        <v>#REF!</v>
      </c>
      <c r="K11" s="56" t="e">
        <f>'CIIP 2016 Revised Format'!#REF!</f>
        <v>#REF!</v>
      </c>
      <c r="L11" s="63"/>
      <c r="M11" s="63"/>
      <c r="N11" s="115"/>
      <c r="O11" s="116"/>
      <c r="R11" s="69"/>
      <c r="X11" s="121" t="s">
        <v>243</v>
      </c>
      <c r="Y11" s="121" t="s">
        <v>244</v>
      </c>
      <c r="Z11" s="121" t="str">
        <f t="shared" si="0"/>
        <v>JK</v>
      </c>
      <c r="AA11" s="75" t="s">
        <v>292</v>
      </c>
      <c r="AB11" s="75" t="s">
        <v>265</v>
      </c>
      <c r="AC11" s="76" t="str">
        <f t="shared" si="1"/>
        <v>JK$1321</v>
      </c>
      <c r="AD11" s="69" t="str">
        <f t="shared" si="2"/>
        <v>=Consolidated!JK$1321</v>
      </c>
      <c r="AE11" s="69" t="s">
        <v>341</v>
      </c>
    </row>
    <row r="12" spans="1:35" outlineLevel="1">
      <c r="A12" s="81">
        <v>8</v>
      </c>
      <c r="B12" s="61"/>
      <c r="C12" s="66" t="s">
        <v>281</v>
      </c>
      <c r="D12" s="53">
        <f>'CIIP 2016 Revised Format'!T$24</f>
        <v>0</v>
      </c>
      <c r="E12" s="109" t="e">
        <f>'CIIP 2016 Revised Format'!#REF!</f>
        <v>#REF!</v>
      </c>
      <c r="F12" s="109" t="e">
        <f>'CIIP 2016 Revised Format'!#REF!</f>
        <v>#REF!</v>
      </c>
      <c r="G12" s="109" t="e">
        <f>'CIIP 2016 Revised Format'!#REF!</f>
        <v>#REF!</v>
      </c>
      <c r="H12" s="109" t="e">
        <f>'CIIP 2016 Revised Format'!#REF!</f>
        <v>#REF!</v>
      </c>
      <c r="I12" s="109" t="e">
        <f>'CIIP 2016 Revised Format'!#REF!</f>
        <v>#REF!</v>
      </c>
      <c r="J12" s="109" t="e">
        <f>'CIIP 2016 Revised Format'!#REF!</f>
        <v>#REF!</v>
      </c>
      <c r="K12" s="56" t="e">
        <f>'CIIP 2016 Revised Format'!#REF!</f>
        <v>#REF!</v>
      </c>
      <c r="L12" s="63"/>
      <c r="M12" s="63"/>
      <c r="N12" s="115"/>
      <c r="O12" s="116"/>
      <c r="R12" s="69"/>
      <c r="X12" s="121" t="s">
        <v>243</v>
      </c>
      <c r="Y12" s="121" t="s">
        <v>245</v>
      </c>
      <c r="Z12" s="121" t="str">
        <f t="shared" si="0"/>
        <v>JL</v>
      </c>
      <c r="AA12" s="75" t="s">
        <v>292</v>
      </c>
      <c r="AB12" s="75" t="s">
        <v>265</v>
      </c>
      <c r="AC12" s="76" t="str">
        <f t="shared" si="1"/>
        <v>JL$1321</v>
      </c>
      <c r="AD12" s="69" t="str">
        <f t="shared" si="2"/>
        <v>=Consolidated!JL$1321</v>
      </c>
      <c r="AE12" s="122" t="s">
        <v>342</v>
      </c>
      <c r="AG12" s="67">
        <v>1</v>
      </c>
    </row>
    <row r="13" spans="1:35" outlineLevel="1">
      <c r="A13" s="81">
        <v>9</v>
      </c>
      <c r="B13" s="61"/>
      <c r="C13" s="93" t="s">
        <v>565</v>
      </c>
      <c r="D13" s="94">
        <f>'CIIP 2016 Revised Format'!AL$24</f>
        <v>10</v>
      </c>
      <c r="E13" s="118" t="e">
        <f>'CIIP 2016 Revised Format'!#REF!</f>
        <v>#REF!</v>
      </c>
      <c r="F13" s="118" t="e">
        <f>'CIIP 2016 Revised Format'!#REF!</f>
        <v>#REF!</v>
      </c>
      <c r="G13" s="118" t="e">
        <f>'CIIP 2016 Revised Format'!#REF!</f>
        <v>#REF!</v>
      </c>
      <c r="H13" s="118" t="e">
        <f>'CIIP 2016 Revised Format'!#REF!</f>
        <v>#REF!</v>
      </c>
      <c r="I13" s="118" t="e">
        <f>'CIIP 2016 Revised Format'!#REF!</f>
        <v>#REF!</v>
      </c>
      <c r="J13" s="118" t="e">
        <f>'CIIP 2016 Revised Format'!#REF!</f>
        <v>#REF!</v>
      </c>
      <c r="K13" s="95" t="e">
        <f>'CIIP 2016 Revised Format'!#REF!</f>
        <v>#REF!</v>
      </c>
      <c r="L13" s="63"/>
      <c r="M13" s="63"/>
      <c r="N13" s="115"/>
      <c r="O13" s="116"/>
      <c r="R13" s="69"/>
      <c r="X13" s="121" t="s">
        <v>243</v>
      </c>
      <c r="Y13" s="121" t="s">
        <v>246</v>
      </c>
      <c r="Z13" s="121" t="str">
        <f t="shared" si="0"/>
        <v>JM</v>
      </c>
      <c r="AA13" s="75" t="s">
        <v>292</v>
      </c>
      <c r="AB13" s="75" t="s">
        <v>265</v>
      </c>
      <c r="AC13" s="76" t="str">
        <f t="shared" si="1"/>
        <v>JM$1321</v>
      </c>
      <c r="AD13" s="69" t="str">
        <f t="shared" si="2"/>
        <v>=Consolidated!JM$1321</v>
      </c>
      <c r="AE13" s="122" t="s">
        <v>343</v>
      </c>
      <c r="AG13" s="67">
        <v>2</v>
      </c>
    </row>
    <row r="14" spans="1:35" outlineLevel="1">
      <c r="A14" s="81">
        <v>10</v>
      </c>
      <c r="B14" s="61"/>
      <c r="C14" s="51" t="s">
        <v>218</v>
      </c>
      <c r="D14" s="53">
        <f>'CIIP 2016 Revised Format'!L$24</f>
        <v>0</v>
      </c>
      <c r="E14" s="109" t="e">
        <f>'CIIP 2016 Revised Format'!#REF!</f>
        <v>#REF!</v>
      </c>
      <c r="F14" s="109" t="e">
        <f>'CIIP 2016 Revised Format'!#REF!</f>
        <v>#REF!</v>
      </c>
      <c r="G14" s="109" t="e">
        <f>'CIIP 2016 Revised Format'!#REF!</f>
        <v>#REF!</v>
      </c>
      <c r="H14" s="109" t="e">
        <f>'CIIP 2016 Revised Format'!#REF!</f>
        <v>#REF!</v>
      </c>
      <c r="I14" s="109" t="e">
        <f>'CIIP 2016 Revised Format'!#REF!</f>
        <v>#REF!</v>
      </c>
      <c r="J14" s="109" t="e">
        <f>'CIIP 2016 Revised Format'!#REF!</f>
        <v>#REF!</v>
      </c>
      <c r="K14" s="56" t="e">
        <f>'CIIP 2016 Revised Format'!#REF!</f>
        <v>#REF!</v>
      </c>
      <c r="L14" s="63"/>
      <c r="M14" s="63"/>
      <c r="N14" s="115"/>
      <c r="O14" s="116"/>
      <c r="R14" s="69"/>
      <c r="X14" s="121" t="s">
        <v>243</v>
      </c>
      <c r="Y14" s="121" t="s">
        <v>247</v>
      </c>
      <c r="Z14" s="121" t="str">
        <f t="shared" si="0"/>
        <v>JN</v>
      </c>
      <c r="AA14" s="75" t="s">
        <v>292</v>
      </c>
      <c r="AB14" s="75" t="s">
        <v>265</v>
      </c>
      <c r="AC14" s="76" t="str">
        <f t="shared" si="1"/>
        <v>JN$1321</v>
      </c>
      <c r="AD14" s="69" t="str">
        <f t="shared" si="2"/>
        <v>=Consolidated!JN$1321</v>
      </c>
      <c r="AE14" s="122" t="s">
        <v>344</v>
      </c>
      <c r="AG14" s="67">
        <v>3</v>
      </c>
      <c r="AI14" s="61"/>
    </row>
    <row r="15" spans="1:35" outlineLevel="1">
      <c r="A15" s="81">
        <v>11</v>
      </c>
      <c r="B15" s="61"/>
      <c r="C15" s="51" t="s">
        <v>226</v>
      </c>
      <c r="D15" s="53">
        <f>'CIIP 2016 Revised Format'!G$24</f>
        <v>0</v>
      </c>
      <c r="E15" s="109" t="e">
        <f>'CIIP 2016 Revised Format'!#REF!</f>
        <v>#REF!</v>
      </c>
      <c r="F15" s="109" t="e">
        <f>'CIIP 2016 Revised Format'!#REF!</f>
        <v>#REF!</v>
      </c>
      <c r="G15" s="109" t="e">
        <f>'CIIP 2016 Revised Format'!#REF!</f>
        <v>#REF!</v>
      </c>
      <c r="H15" s="109" t="e">
        <f>'CIIP 2016 Revised Format'!#REF!</f>
        <v>#REF!</v>
      </c>
      <c r="I15" s="109" t="e">
        <f>'CIIP 2016 Revised Format'!#REF!</f>
        <v>#REF!</v>
      </c>
      <c r="J15" s="109" t="e">
        <f>'CIIP 2016 Revised Format'!#REF!</f>
        <v>#REF!</v>
      </c>
      <c r="K15" s="56" t="e">
        <f>'CIIP 2016 Revised Format'!#REF!</f>
        <v>#REF!</v>
      </c>
      <c r="L15" s="63"/>
      <c r="M15" s="63"/>
      <c r="N15" s="115"/>
      <c r="O15" s="116"/>
      <c r="P15" s="116" t="e">
        <f>SUM(K5:K14)</f>
        <v>#REF!</v>
      </c>
      <c r="R15" s="69"/>
      <c r="X15" s="121" t="s">
        <v>243</v>
      </c>
      <c r="Y15" s="121" t="s">
        <v>248</v>
      </c>
      <c r="Z15" s="121" t="str">
        <f t="shared" si="0"/>
        <v>JO</v>
      </c>
      <c r="AA15" s="75" t="s">
        <v>292</v>
      </c>
      <c r="AB15" s="75" t="s">
        <v>265</v>
      </c>
      <c r="AC15" s="76" t="str">
        <f t="shared" si="1"/>
        <v>JO$1321</v>
      </c>
      <c r="AD15" s="69" t="str">
        <f t="shared" si="2"/>
        <v>=Consolidated!JO$1321</v>
      </c>
      <c r="AE15" s="122" t="s">
        <v>345</v>
      </c>
      <c r="AG15" s="67">
        <v>4</v>
      </c>
    </row>
    <row r="16" spans="1:35" outlineLevel="1">
      <c r="A16" s="81">
        <v>12</v>
      </c>
      <c r="B16" s="61"/>
      <c r="C16" s="51" t="s">
        <v>133</v>
      </c>
      <c r="D16" s="53">
        <f>'CIIP 2016 Revised Format'!AJ$24</f>
        <v>0</v>
      </c>
      <c r="E16" s="109" t="e">
        <f>'CIIP 2016 Revised Format'!#REF!</f>
        <v>#REF!</v>
      </c>
      <c r="F16" s="109" t="e">
        <f>'CIIP 2016 Revised Format'!#REF!</f>
        <v>#REF!</v>
      </c>
      <c r="G16" s="109" t="e">
        <f>'CIIP 2016 Revised Format'!#REF!</f>
        <v>#REF!</v>
      </c>
      <c r="H16" s="109" t="e">
        <f>'CIIP 2016 Revised Format'!#REF!</f>
        <v>#REF!</v>
      </c>
      <c r="I16" s="109" t="e">
        <f>'CIIP 2016 Revised Format'!#REF!</f>
        <v>#REF!</v>
      </c>
      <c r="J16" s="109" t="e">
        <f>'CIIP 2016 Revised Format'!#REF!</f>
        <v>#REF!</v>
      </c>
      <c r="K16" s="56" t="e">
        <f>'CIIP 2016 Revised Format'!#REF!</f>
        <v>#REF!</v>
      </c>
      <c r="L16" s="63"/>
      <c r="M16" s="63"/>
      <c r="N16" s="115"/>
      <c r="O16" s="116"/>
      <c r="P16" s="68">
        <v>4269112330.0837002</v>
      </c>
      <c r="R16" s="69"/>
      <c r="X16" s="121" t="s">
        <v>243</v>
      </c>
      <c r="Y16" s="121" t="s">
        <v>249</v>
      </c>
      <c r="Z16" s="121" t="str">
        <f t="shared" si="0"/>
        <v>JP</v>
      </c>
      <c r="AA16" s="75" t="s">
        <v>292</v>
      </c>
      <c r="AB16" s="75" t="s">
        <v>265</v>
      </c>
      <c r="AC16" s="76" t="str">
        <f t="shared" si="1"/>
        <v>JP$1321</v>
      </c>
      <c r="AD16" s="69" t="str">
        <f t="shared" si="2"/>
        <v>=Consolidated!JP$1321</v>
      </c>
      <c r="AE16" s="122" t="s">
        <v>346</v>
      </c>
      <c r="AG16" s="67">
        <v>5</v>
      </c>
    </row>
    <row r="17" spans="1:41" outlineLevel="1">
      <c r="A17" s="81">
        <v>13</v>
      </c>
      <c r="B17" s="61"/>
      <c r="C17" s="51" t="s">
        <v>219</v>
      </c>
      <c r="D17" s="53">
        <f>'CIIP 2016 Revised Format'!Q$24</f>
        <v>0</v>
      </c>
      <c r="E17" s="109" t="e">
        <f>'CIIP 2016 Revised Format'!#REF!</f>
        <v>#REF!</v>
      </c>
      <c r="F17" s="109" t="e">
        <f>'CIIP 2016 Revised Format'!#REF!</f>
        <v>#REF!</v>
      </c>
      <c r="G17" s="109" t="e">
        <f>'CIIP 2016 Revised Format'!#REF!</f>
        <v>#REF!</v>
      </c>
      <c r="H17" s="109" t="e">
        <f>'CIIP 2016 Revised Format'!#REF!</f>
        <v>#REF!</v>
      </c>
      <c r="I17" s="109" t="e">
        <f>'CIIP 2016 Revised Format'!#REF!</f>
        <v>#REF!</v>
      </c>
      <c r="J17" s="109" t="e">
        <f>'CIIP 2016 Revised Format'!#REF!</f>
        <v>#REF!</v>
      </c>
      <c r="K17" s="56" t="e">
        <f>'CIIP 2016 Revised Format'!#REF!</f>
        <v>#REF!</v>
      </c>
      <c r="L17" s="63"/>
      <c r="M17" s="63"/>
      <c r="N17" s="115"/>
      <c r="O17" s="116"/>
      <c r="R17" s="69"/>
      <c r="X17" s="121"/>
      <c r="Y17" s="121"/>
      <c r="Z17" s="121"/>
      <c r="AA17" s="75"/>
      <c r="AB17" s="75"/>
      <c r="AC17" s="76"/>
      <c r="AD17" s="69"/>
      <c r="AE17" s="122"/>
    </row>
    <row r="18" spans="1:41" outlineLevel="1">
      <c r="A18" s="81">
        <v>14</v>
      </c>
      <c r="B18" s="61"/>
      <c r="C18" s="51" t="s">
        <v>132</v>
      </c>
      <c r="D18" s="53">
        <f>'CIIP 2016 Revised Format'!V$24</f>
        <v>0</v>
      </c>
      <c r="E18" s="109" t="e">
        <f>'CIIP 2016 Revised Format'!#REF!</f>
        <v>#REF!</v>
      </c>
      <c r="F18" s="109" t="e">
        <f>'CIIP 2016 Revised Format'!#REF!</f>
        <v>#REF!</v>
      </c>
      <c r="G18" s="109" t="e">
        <f>'CIIP 2016 Revised Format'!#REF!</f>
        <v>#REF!</v>
      </c>
      <c r="H18" s="109" t="e">
        <f>'CIIP 2016 Revised Format'!#REF!</f>
        <v>#REF!</v>
      </c>
      <c r="I18" s="109" t="e">
        <f>'CIIP 2016 Revised Format'!#REF!</f>
        <v>#REF!</v>
      </c>
      <c r="J18" s="109" t="e">
        <f>'CIIP 2016 Revised Format'!#REF!</f>
        <v>#REF!</v>
      </c>
      <c r="K18" s="56" t="e">
        <f>'CIIP 2016 Revised Format'!#REF!</f>
        <v>#REF!</v>
      </c>
      <c r="L18" s="63"/>
      <c r="M18" s="63"/>
      <c r="N18" s="115"/>
      <c r="O18" s="116"/>
      <c r="R18" s="69"/>
      <c r="X18" s="121" t="s">
        <v>243</v>
      </c>
      <c r="Y18" s="121" t="s">
        <v>250</v>
      </c>
      <c r="Z18" s="121" t="str">
        <f t="shared" ref="Z18:Z24" si="3">CONCATENATE(X18,Y18)</f>
        <v>JQ</v>
      </c>
      <c r="AA18" s="75" t="s">
        <v>292</v>
      </c>
      <c r="AB18" s="75" t="s">
        <v>265</v>
      </c>
      <c r="AC18" s="76" t="str">
        <f t="shared" si="1"/>
        <v>JQ$1321</v>
      </c>
      <c r="AD18" s="69" t="str">
        <f t="shared" si="2"/>
        <v>=Consolidated!JQ$1321</v>
      </c>
      <c r="AE18" s="122" t="s">
        <v>347</v>
      </c>
      <c r="AG18" s="67">
        <v>6</v>
      </c>
    </row>
    <row r="19" spans="1:41" outlineLevel="1">
      <c r="A19" s="81">
        <v>15</v>
      </c>
      <c r="B19" s="61"/>
      <c r="C19" s="51" t="s">
        <v>462</v>
      </c>
      <c r="D19" s="53">
        <f>'CIIP 2016 Revised Format'!P24</f>
        <v>0</v>
      </c>
      <c r="E19" s="109" t="e">
        <f>'CIIP 2016 Revised Format'!#REF!</f>
        <v>#REF!</v>
      </c>
      <c r="F19" s="109" t="e">
        <f>'CIIP 2016 Revised Format'!#REF!</f>
        <v>#REF!</v>
      </c>
      <c r="G19" s="109" t="e">
        <f>'CIIP 2016 Revised Format'!#REF!</f>
        <v>#REF!</v>
      </c>
      <c r="H19" s="109" t="e">
        <f>'CIIP 2016 Revised Format'!#REF!</f>
        <v>#REF!</v>
      </c>
      <c r="I19" s="109" t="e">
        <f>'CIIP 2016 Revised Format'!#REF!</f>
        <v>#REF!</v>
      </c>
      <c r="J19" s="109" t="e">
        <f>'CIIP 2016 Revised Format'!#REF!</f>
        <v>#REF!</v>
      </c>
      <c r="K19" s="56" t="e">
        <f>'CIIP 2016 Revised Format'!#REF!</f>
        <v>#REF!</v>
      </c>
      <c r="L19" s="63"/>
      <c r="M19" s="63"/>
      <c r="N19" s="115"/>
      <c r="O19" s="116"/>
      <c r="R19" s="69"/>
      <c r="X19" s="121" t="s">
        <v>243</v>
      </c>
      <c r="Y19" s="121" t="s">
        <v>251</v>
      </c>
      <c r="Z19" s="121" t="str">
        <f t="shared" si="3"/>
        <v>JR</v>
      </c>
      <c r="AA19" s="75" t="s">
        <v>292</v>
      </c>
      <c r="AB19" s="75" t="s">
        <v>265</v>
      </c>
      <c r="AC19" s="76" t="str">
        <f t="shared" si="1"/>
        <v>JR$1321</v>
      </c>
      <c r="AD19" s="69" t="str">
        <f t="shared" si="2"/>
        <v>=Consolidated!JR$1321</v>
      </c>
      <c r="AE19" s="69" t="s">
        <v>348</v>
      </c>
    </row>
    <row r="20" spans="1:41" outlineLevel="1">
      <c r="A20" s="81">
        <v>16</v>
      </c>
      <c r="B20" s="61"/>
      <c r="C20" s="51" t="s">
        <v>818</v>
      </c>
      <c r="D20" s="53">
        <f>'CIIP 2016 Revised Format'!X$24</f>
        <v>0</v>
      </c>
      <c r="E20" s="109" t="e">
        <f>'CIIP 2016 Revised Format'!#REF!</f>
        <v>#REF!</v>
      </c>
      <c r="F20" s="109" t="e">
        <f>'CIIP 2016 Revised Format'!#REF!</f>
        <v>#REF!</v>
      </c>
      <c r="G20" s="109" t="e">
        <f>'CIIP 2016 Revised Format'!#REF!</f>
        <v>#REF!</v>
      </c>
      <c r="H20" s="109" t="e">
        <f>'CIIP 2016 Revised Format'!#REF!</f>
        <v>#REF!</v>
      </c>
      <c r="I20" s="109" t="e">
        <f>'CIIP 2016 Revised Format'!#REF!</f>
        <v>#REF!</v>
      </c>
      <c r="J20" s="109" t="e">
        <f>'CIIP 2016 Revised Format'!#REF!</f>
        <v>#REF!</v>
      </c>
      <c r="K20" s="450" t="e">
        <f>'CIIP 2016 Revised Format'!#REF!</f>
        <v>#REF!</v>
      </c>
      <c r="L20" s="63"/>
      <c r="M20" s="63"/>
      <c r="N20" s="115"/>
      <c r="O20" s="116"/>
      <c r="R20" s="69"/>
      <c r="X20" s="121" t="s">
        <v>243</v>
      </c>
      <c r="Y20" s="121" t="s">
        <v>252</v>
      </c>
      <c r="Z20" s="121" t="str">
        <f t="shared" si="3"/>
        <v>JS</v>
      </c>
      <c r="AA20" s="75" t="s">
        <v>292</v>
      </c>
      <c r="AB20" s="75" t="s">
        <v>265</v>
      </c>
      <c r="AC20" s="76" t="str">
        <f t="shared" si="1"/>
        <v>JS$1321</v>
      </c>
      <c r="AD20" s="69" t="str">
        <f t="shared" si="2"/>
        <v>=Consolidated!JS$1321</v>
      </c>
      <c r="AE20" s="122" t="s">
        <v>349</v>
      </c>
      <c r="AG20" s="67">
        <v>1</v>
      </c>
    </row>
    <row r="21" spans="1:41" outlineLevel="1">
      <c r="A21" s="81">
        <v>17</v>
      </c>
      <c r="B21" s="61"/>
      <c r="C21" s="51" t="s">
        <v>666</v>
      </c>
      <c r="D21" s="53">
        <f>'CIIP 2016 Revised Format'!AK$24</f>
        <v>0</v>
      </c>
      <c r="E21" s="109" t="e">
        <f>'CIIP 2016 Revised Format'!#REF!</f>
        <v>#REF!</v>
      </c>
      <c r="F21" s="109" t="e">
        <f>'CIIP 2016 Revised Format'!#REF!</f>
        <v>#REF!</v>
      </c>
      <c r="G21" s="109" t="e">
        <f>'CIIP 2016 Revised Format'!#REF!</f>
        <v>#REF!</v>
      </c>
      <c r="H21" s="109" t="e">
        <f>'CIIP 2016 Revised Format'!#REF!</f>
        <v>#REF!</v>
      </c>
      <c r="I21" s="109" t="e">
        <f>'CIIP 2016 Revised Format'!#REF!</f>
        <v>#REF!</v>
      </c>
      <c r="J21" s="109" t="e">
        <f>'CIIP 2016 Revised Format'!#REF!</f>
        <v>#REF!</v>
      </c>
      <c r="K21" s="56" t="e">
        <f>'CIIP 2016 Revised Format'!#REF!</f>
        <v>#REF!</v>
      </c>
      <c r="L21" s="63"/>
      <c r="M21" s="63"/>
      <c r="N21" s="115"/>
      <c r="O21" s="116"/>
      <c r="R21" s="69"/>
      <c r="X21" s="121" t="s">
        <v>243</v>
      </c>
      <c r="Y21" s="121" t="s">
        <v>253</v>
      </c>
      <c r="Z21" s="121" t="str">
        <f t="shared" si="3"/>
        <v>JT</v>
      </c>
      <c r="AA21" s="75" t="s">
        <v>292</v>
      </c>
      <c r="AB21" s="75" t="s">
        <v>265</v>
      </c>
      <c r="AC21" s="76" t="str">
        <f t="shared" si="1"/>
        <v>JT$1321</v>
      </c>
      <c r="AD21" s="69" t="str">
        <f t="shared" si="2"/>
        <v>=Consolidated!JT$1321</v>
      </c>
      <c r="AE21" s="122" t="s">
        <v>350</v>
      </c>
      <c r="AG21" s="67">
        <v>2</v>
      </c>
    </row>
    <row r="22" spans="1:41" outlineLevel="1">
      <c r="A22" s="81">
        <v>18</v>
      </c>
      <c r="B22" s="61"/>
      <c r="C22" s="51" t="s">
        <v>76</v>
      </c>
      <c r="D22" s="53">
        <f>'CIIP 2016 Revised Format'!J$24</f>
        <v>0</v>
      </c>
      <c r="E22" s="109" t="e">
        <f>'CIIP 2016 Revised Format'!#REF!</f>
        <v>#REF!</v>
      </c>
      <c r="F22" s="109" t="e">
        <f>'CIIP 2016 Revised Format'!#REF!</f>
        <v>#REF!</v>
      </c>
      <c r="G22" s="109" t="e">
        <f>'CIIP 2016 Revised Format'!#REF!</f>
        <v>#REF!</v>
      </c>
      <c r="H22" s="109" t="e">
        <f>'CIIP 2016 Revised Format'!#REF!</f>
        <v>#REF!</v>
      </c>
      <c r="I22" s="109" t="e">
        <f>'CIIP 2016 Revised Format'!#REF!</f>
        <v>#REF!</v>
      </c>
      <c r="J22" s="109" t="e">
        <f>'CIIP 2016 Revised Format'!#REF!</f>
        <v>#REF!</v>
      </c>
      <c r="K22" s="56" t="e">
        <f>'CIIP 2016 Revised Format'!#REF!</f>
        <v>#REF!</v>
      </c>
      <c r="L22" s="63"/>
      <c r="M22" s="63"/>
      <c r="N22" s="115"/>
      <c r="O22" s="116"/>
      <c r="R22" s="69"/>
      <c r="X22" s="121" t="s">
        <v>243</v>
      </c>
      <c r="Y22" s="121" t="s">
        <v>254</v>
      </c>
      <c r="Z22" s="121" t="str">
        <f t="shared" si="3"/>
        <v>JU</v>
      </c>
      <c r="AA22" s="75" t="s">
        <v>292</v>
      </c>
      <c r="AB22" s="75" t="s">
        <v>265</v>
      </c>
      <c r="AC22" s="76" t="str">
        <f t="shared" si="1"/>
        <v>JU$1321</v>
      </c>
      <c r="AD22" s="69" t="str">
        <f t="shared" si="2"/>
        <v>=Consolidated!JU$1321</v>
      </c>
      <c r="AE22" s="122" t="s">
        <v>351</v>
      </c>
      <c r="AG22" s="67">
        <v>3</v>
      </c>
    </row>
    <row r="23" spans="1:41" outlineLevel="1">
      <c r="A23" s="81">
        <v>19</v>
      </c>
      <c r="B23" s="61"/>
      <c r="C23" s="51" t="s">
        <v>552</v>
      </c>
      <c r="D23" s="53">
        <f>'CIIP 2016 Revised Format'!I$24</f>
        <v>0</v>
      </c>
      <c r="E23" s="109" t="e">
        <f>'CIIP 2016 Revised Format'!#REF!</f>
        <v>#REF!</v>
      </c>
      <c r="F23" s="109" t="e">
        <f>'CIIP 2016 Revised Format'!#REF!</f>
        <v>#REF!</v>
      </c>
      <c r="G23" s="109" t="e">
        <f>'CIIP 2016 Revised Format'!#REF!</f>
        <v>#REF!</v>
      </c>
      <c r="H23" s="109" t="e">
        <f>'CIIP 2016 Revised Format'!#REF!</f>
        <v>#REF!</v>
      </c>
      <c r="I23" s="109" t="e">
        <f>'CIIP 2016 Revised Format'!#REF!</f>
        <v>#REF!</v>
      </c>
      <c r="J23" s="109" t="e">
        <f>'CIIP 2016 Revised Format'!#REF!</f>
        <v>#REF!</v>
      </c>
      <c r="K23" s="56" t="e">
        <f>'CIIP 2016 Revised Format'!#REF!</f>
        <v>#REF!</v>
      </c>
      <c r="L23" s="63"/>
      <c r="M23" s="63"/>
      <c r="N23" s="115"/>
      <c r="O23" s="116"/>
      <c r="R23" s="69"/>
      <c r="X23" s="121" t="s">
        <v>243</v>
      </c>
      <c r="Y23" s="121" t="s">
        <v>209</v>
      </c>
      <c r="Z23" s="121" t="str">
        <f t="shared" si="3"/>
        <v>JV</v>
      </c>
      <c r="AA23" s="75" t="s">
        <v>292</v>
      </c>
      <c r="AB23" s="75" t="s">
        <v>265</v>
      </c>
      <c r="AC23" s="76" t="str">
        <f t="shared" si="1"/>
        <v>JV$1321</v>
      </c>
      <c r="AD23" s="69" t="str">
        <f t="shared" si="2"/>
        <v>=Consolidated!JV$1321</v>
      </c>
      <c r="AE23" s="122" t="s">
        <v>352</v>
      </c>
      <c r="AG23" s="67">
        <v>4</v>
      </c>
    </row>
    <row r="24" spans="1:41" outlineLevel="1">
      <c r="A24" s="81">
        <v>20</v>
      </c>
      <c r="B24" s="61"/>
      <c r="C24" s="51" t="s">
        <v>200</v>
      </c>
      <c r="D24" s="53">
        <f>'CIIP 2016 Revised Format'!H$24</f>
        <v>0</v>
      </c>
      <c r="E24" s="109" t="e">
        <f>'CIIP 2016 Revised Format'!#REF!</f>
        <v>#REF!</v>
      </c>
      <c r="F24" s="109" t="e">
        <f>'CIIP 2016 Revised Format'!#REF!</f>
        <v>#REF!</v>
      </c>
      <c r="G24" s="109" t="e">
        <f>'CIIP 2016 Revised Format'!#REF!</f>
        <v>#REF!</v>
      </c>
      <c r="H24" s="109" t="e">
        <f>'CIIP 2016 Revised Format'!#REF!</f>
        <v>#REF!</v>
      </c>
      <c r="I24" s="109" t="e">
        <f>'CIIP 2016 Revised Format'!#REF!</f>
        <v>#REF!</v>
      </c>
      <c r="J24" s="109" t="e">
        <f>'CIIP 2016 Revised Format'!#REF!</f>
        <v>#REF!</v>
      </c>
      <c r="K24" s="56" t="e">
        <f>'CIIP 2016 Revised Format'!#REF!</f>
        <v>#REF!</v>
      </c>
      <c r="L24" s="63"/>
      <c r="M24" s="63"/>
      <c r="N24" s="115"/>
      <c r="O24" s="116"/>
      <c r="R24" s="69"/>
      <c r="S24" s="69"/>
      <c r="X24" s="121" t="s">
        <v>243</v>
      </c>
      <c r="Y24" s="121" t="s">
        <v>291</v>
      </c>
      <c r="Z24" s="121" t="str">
        <f t="shared" si="3"/>
        <v>JW</v>
      </c>
      <c r="AA24" s="75" t="s">
        <v>292</v>
      </c>
      <c r="AB24" s="75" t="s">
        <v>265</v>
      </c>
      <c r="AC24" s="76" t="str">
        <f t="shared" si="1"/>
        <v>JW$1321</v>
      </c>
      <c r="AD24" s="69" t="str">
        <f t="shared" si="2"/>
        <v>=Consolidated!JW$1321</v>
      </c>
      <c r="AE24" s="122" t="s">
        <v>353</v>
      </c>
      <c r="AG24" s="67">
        <v>5</v>
      </c>
      <c r="AO24" s="69"/>
    </row>
    <row r="25" spans="1:41" outlineLevel="1">
      <c r="A25" s="81">
        <v>21</v>
      </c>
      <c r="B25" s="61"/>
      <c r="C25" s="66" t="s">
        <v>268</v>
      </c>
      <c r="D25" s="53">
        <f>'CIIP 2016 Revised Format'!N$24</f>
        <v>0</v>
      </c>
      <c r="E25" s="109" t="e">
        <f>'CIIP 2016 Revised Format'!#REF!</f>
        <v>#REF!</v>
      </c>
      <c r="F25" s="109" t="e">
        <f>'CIIP 2016 Revised Format'!#REF!</f>
        <v>#REF!</v>
      </c>
      <c r="G25" s="109" t="e">
        <f>'CIIP 2016 Revised Format'!#REF!</f>
        <v>#REF!</v>
      </c>
      <c r="H25" s="109" t="e">
        <f>'CIIP 2016 Revised Format'!#REF!</f>
        <v>#REF!</v>
      </c>
      <c r="I25" s="109" t="e">
        <f>'CIIP 2016 Revised Format'!#REF!</f>
        <v>#REF!</v>
      </c>
      <c r="J25" s="109" t="e">
        <f>'CIIP 2016 Revised Format'!#REF!</f>
        <v>#REF!</v>
      </c>
      <c r="K25" s="56" t="e">
        <f>'CIIP 2016 Revised Format'!#REF!</f>
        <v>#REF!</v>
      </c>
      <c r="L25" s="63"/>
      <c r="M25" s="63"/>
      <c r="N25" s="115"/>
      <c r="O25" s="116"/>
      <c r="R25" s="69"/>
      <c r="S25" s="69"/>
      <c r="X25" s="121"/>
      <c r="Y25" s="121"/>
      <c r="Z25" s="121"/>
      <c r="AA25" s="75"/>
      <c r="AB25" s="75"/>
      <c r="AC25" s="76"/>
      <c r="AD25" s="69"/>
      <c r="AE25" s="122"/>
      <c r="AO25" s="69"/>
    </row>
    <row r="26" spans="1:41" outlineLevel="1">
      <c r="A26" s="81">
        <v>22</v>
      </c>
      <c r="B26" s="61"/>
      <c r="C26" s="51" t="s">
        <v>62</v>
      </c>
      <c r="D26" s="53">
        <f>'CIIP 2016 Revised Format'!F$24</f>
        <v>0</v>
      </c>
      <c r="E26" s="109" t="e">
        <f>'CIIP 2016 Revised Format'!#REF!</f>
        <v>#REF!</v>
      </c>
      <c r="F26" s="109" t="e">
        <f>'CIIP 2016 Revised Format'!#REF!</f>
        <v>#REF!</v>
      </c>
      <c r="G26" s="109" t="e">
        <f>'CIIP 2016 Revised Format'!#REF!</f>
        <v>#REF!</v>
      </c>
      <c r="H26" s="109" t="e">
        <f>'CIIP 2016 Revised Format'!#REF!</f>
        <v>#REF!</v>
      </c>
      <c r="I26" s="109" t="e">
        <f>'CIIP 2016 Revised Format'!#REF!</f>
        <v>#REF!</v>
      </c>
      <c r="J26" s="109" t="e">
        <f>'CIIP 2016 Revised Format'!#REF!</f>
        <v>#REF!</v>
      </c>
      <c r="K26" s="56" t="e">
        <f>'CIIP 2016 Revised Format'!#REF!</f>
        <v>#REF!</v>
      </c>
      <c r="L26" s="63"/>
      <c r="M26" s="63"/>
      <c r="N26" s="115"/>
      <c r="O26" s="116"/>
      <c r="R26" s="69"/>
      <c r="X26" s="121" t="s">
        <v>243</v>
      </c>
      <c r="Y26" s="121" t="s">
        <v>214</v>
      </c>
      <c r="Z26" s="121" t="str">
        <f t="shared" ref="Z26:Z41" si="4">CONCATENATE(X26,Y26)</f>
        <v>JX</v>
      </c>
      <c r="AA26" s="75" t="s">
        <v>292</v>
      </c>
      <c r="AB26" s="75" t="s">
        <v>265</v>
      </c>
      <c r="AC26" s="76" t="str">
        <f t="shared" si="1"/>
        <v>JX$1321</v>
      </c>
      <c r="AD26" s="69" t="str">
        <f t="shared" si="2"/>
        <v>=Consolidated!JX$1321</v>
      </c>
      <c r="AE26" s="122" t="s">
        <v>354</v>
      </c>
      <c r="AG26" s="67">
        <v>6</v>
      </c>
      <c r="AO26" s="69"/>
    </row>
    <row r="27" spans="1:41" outlineLevel="1">
      <c r="A27" s="81">
        <v>23</v>
      </c>
      <c r="B27" s="61"/>
      <c r="C27" s="51" t="s">
        <v>94</v>
      </c>
      <c r="D27" s="53">
        <f>'CIIP 2016 Revised Format'!AC$24</f>
        <v>0</v>
      </c>
      <c r="E27" s="109" t="e">
        <f>'CIIP 2016 Revised Format'!#REF!</f>
        <v>#REF!</v>
      </c>
      <c r="F27" s="109" t="e">
        <f>'CIIP 2016 Revised Format'!#REF!</f>
        <v>#REF!</v>
      </c>
      <c r="G27" s="109" t="e">
        <f>'CIIP 2016 Revised Format'!#REF!</f>
        <v>#REF!</v>
      </c>
      <c r="H27" s="109" t="e">
        <f>'CIIP 2016 Revised Format'!#REF!</f>
        <v>#REF!</v>
      </c>
      <c r="I27" s="109" t="e">
        <f>'CIIP 2016 Revised Format'!#REF!</f>
        <v>#REF!</v>
      </c>
      <c r="J27" s="109" t="e">
        <f>'CIIP 2016 Revised Format'!#REF!</f>
        <v>#REF!</v>
      </c>
      <c r="K27" s="450" t="e">
        <f>'CIIP 2016 Revised Format'!#REF!</f>
        <v>#REF!</v>
      </c>
      <c r="L27" s="63"/>
      <c r="M27" s="63"/>
      <c r="N27" s="115"/>
      <c r="O27" s="116"/>
      <c r="R27" s="69"/>
      <c r="X27" s="121" t="s">
        <v>243</v>
      </c>
      <c r="Y27" s="121" t="s">
        <v>255</v>
      </c>
      <c r="Z27" s="121" t="str">
        <f t="shared" si="4"/>
        <v>JY</v>
      </c>
      <c r="AA27" s="75" t="s">
        <v>292</v>
      </c>
      <c r="AB27" s="75" t="s">
        <v>265</v>
      </c>
      <c r="AC27" s="76" t="str">
        <f t="shared" si="1"/>
        <v>JY$1321</v>
      </c>
      <c r="AD27" s="69" t="str">
        <f t="shared" si="2"/>
        <v>=Consolidated!JY$1321</v>
      </c>
      <c r="AE27" s="69" t="s">
        <v>355</v>
      </c>
      <c r="AO27" s="69"/>
    </row>
    <row r="28" spans="1:41" outlineLevel="1">
      <c r="A28" s="81">
        <v>24</v>
      </c>
      <c r="B28" s="61"/>
      <c r="C28" s="51" t="s">
        <v>176</v>
      </c>
      <c r="D28" s="53">
        <f>'CIIP 2016 Revised Format'!D$24</f>
        <v>0</v>
      </c>
      <c r="E28" s="109" t="e">
        <f>'CIIP 2016 Revised Format'!IU$24</f>
        <v>#REF!</v>
      </c>
      <c r="F28" s="109" t="e">
        <f>'CIIP 2016 Revised Format'!IV$24</f>
        <v>#REF!</v>
      </c>
      <c r="G28" s="109" t="e">
        <f>'CIIP 2016 Revised Format'!#REF!</f>
        <v>#REF!</v>
      </c>
      <c r="H28" s="109" t="e">
        <f>'CIIP 2016 Revised Format'!#REF!</f>
        <v>#REF!</v>
      </c>
      <c r="I28" s="109" t="e">
        <f>'CIIP 2016 Revised Format'!#REF!</f>
        <v>#REF!</v>
      </c>
      <c r="J28" s="109" t="e">
        <f>'CIIP 2016 Revised Format'!#REF!</f>
        <v>#REF!</v>
      </c>
      <c r="K28" s="70" t="e">
        <f>'CIIP 2016 Revised Format'!#REF!</f>
        <v>#REF!</v>
      </c>
      <c r="L28" s="63"/>
      <c r="M28" s="63"/>
      <c r="N28" s="115"/>
      <c r="O28" s="116"/>
      <c r="R28" s="69"/>
      <c r="X28" s="121" t="s">
        <v>243</v>
      </c>
      <c r="Y28" s="121" t="s">
        <v>256</v>
      </c>
      <c r="Z28" s="121" t="str">
        <f t="shared" si="4"/>
        <v>JZ</v>
      </c>
      <c r="AA28" s="75" t="s">
        <v>292</v>
      </c>
      <c r="AB28" s="75" t="s">
        <v>265</v>
      </c>
      <c r="AC28" s="76" t="str">
        <f t="shared" si="1"/>
        <v>JZ$1321</v>
      </c>
      <c r="AD28" s="69" t="str">
        <f t="shared" si="2"/>
        <v>=Consolidated!JZ$1321</v>
      </c>
      <c r="AE28" s="122" t="s">
        <v>356</v>
      </c>
      <c r="AG28" s="67">
        <v>1</v>
      </c>
      <c r="AI28" s="122" t="s">
        <v>335</v>
      </c>
      <c r="AJ28" s="122" t="s">
        <v>336</v>
      </c>
      <c r="AK28" s="122" t="s">
        <v>337</v>
      </c>
      <c r="AL28" s="122" t="s">
        <v>338</v>
      </c>
      <c r="AM28" s="122" t="s">
        <v>339</v>
      </c>
      <c r="AN28" s="122" t="s">
        <v>340</v>
      </c>
      <c r="AO28" s="69" t="s">
        <v>341</v>
      </c>
    </row>
    <row r="29" spans="1:41" outlineLevel="1">
      <c r="A29" s="81">
        <v>25</v>
      </c>
      <c r="B29" s="61"/>
      <c r="C29" s="51" t="s">
        <v>551</v>
      </c>
      <c r="D29" s="53">
        <f>'CIIP 2016 Revised Format'!AE$24</f>
        <v>0</v>
      </c>
      <c r="E29" s="109" t="e">
        <f>'CIIP 2016 Revised Format'!#REF!</f>
        <v>#REF!</v>
      </c>
      <c r="F29" s="109" t="e">
        <f>'CIIP 2016 Revised Format'!#REF!</f>
        <v>#REF!</v>
      </c>
      <c r="G29" s="109" t="e">
        <f>'CIIP 2016 Revised Format'!#REF!</f>
        <v>#REF!</v>
      </c>
      <c r="H29" s="109" t="e">
        <f>'CIIP 2016 Revised Format'!#REF!</f>
        <v>#REF!</v>
      </c>
      <c r="I29" s="109" t="e">
        <f>'CIIP 2016 Revised Format'!#REF!</f>
        <v>#REF!</v>
      </c>
      <c r="J29" s="109" t="e">
        <f>'CIIP 2016 Revised Format'!#REF!</f>
        <v>#REF!</v>
      </c>
      <c r="K29" s="450" t="e">
        <f>'CIIP 2016 Revised Format'!#REF!</f>
        <v>#REF!</v>
      </c>
      <c r="L29" s="63"/>
      <c r="M29" s="63"/>
      <c r="N29" s="115"/>
      <c r="O29" s="116"/>
      <c r="R29" s="69"/>
      <c r="X29" s="121" t="s">
        <v>244</v>
      </c>
      <c r="Y29" s="121" t="s">
        <v>257</v>
      </c>
      <c r="Z29" s="121" t="str">
        <f t="shared" si="4"/>
        <v>KA</v>
      </c>
      <c r="AA29" s="75" t="s">
        <v>292</v>
      </c>
      <c r="AB29" s="75" t="s">
        <v>265</v>
      </c>
      <c r="AC29" s="76" t="str">
        <f t="shared" si="1"/>
        <v>KA$1321</v>
      </c>
      <c r="AD29" s="69" t="str">
        <f t="shared" si="2"/>
        <v>=Consolidated!KA$1321</v>
      </c>
      <c r="AE29" s="122" t="s">
        <v>357</v>
      </c>
      <c r="AG29" s="67">
        <v>2</v>
      </c>
      <c r="AI29" s="122" t="s">
        <v>342</v>
      </c>
      <c r="AJ29" s="122" t="s">
        <v>343</v>
      </c>
      <c r="AK29" s="122" t="s">
        <v>344</v>
      </c>
      <c r="AL29" s="122" t="s">
        <v>345</v>
      </c>
      <c r="AM29" s="122" t="s">
        <v>346</v>
      </c>
      <c r="AN29" s="122" t="s">
        <v>347</v>
      </c>
      <c r="AO29" s="69" t="s">
        <v>348</v>
      </c>
    </row>
    <row r="30" spans="1:41" outlineLevel="1">
      <c r="A30" s="81">
        <v>26</v>
      </c>
      <c r="B30" s="61"/>
      <c r="C30" s="51" t="s">
        <v>77</v>
      </c>
      <c r="D30" s="53">
        <f>'CIIP 2016 Revised Format'!AH$24</f>
        <v>0</v>
      </c>
      <c r="E30" s="109" t="e">
        <f>'CIIP 2016 Revised Format'!#REF!</f>
        <v>#REF!</v>
      </c>
      <c r="F30" s="109" t="e">
        <f>'CIIP 2016 Revised Format'!#REF!</f>
        <v>#REF!</v>
      </c>
      <c r="G30" s="109" t="e">
        <f>'CIIP 2016 Revised Format'!#REF!</f>
        <v>#REF!</v>
      </c>
      <c r="H30" s="109" t="e">
        <f>'CIIP 2016 Revised Format'!#REF!</f>
        <v>#REF!</v>
      </c>
      <c r="I30" s="109" t="e">
        <f>'CIIP 2016 Revised Format'!#REF!</f>
        <v>#REF!</v>
      </c>
      <c r="J30" s="109" t="e">
        <f>'CIIP 2016 Revised Format'!#REF!</f>
        <v>#REF!</v>
      </c>
      <c r="K30" s="56" t="e">
        <f>'CIIP 2016 Revised Format'!#REF!</f>
        <v>#REF!</v>
      </c>
      <c r="L30" s="63"/>
      <c r="M30" s="63"/>
      <c r="N30" s="115"/>
      <c r="O30" s="116"/>
      <c r="R30" s="69"/>
      <c r="X30" s="121" t="s">
        <v>244</v>
      </c>
      <c r="Y30" s="121" t="s">
        <v>258</v>
      </c>
      <c r="Z30" s="121" t="str">
        <f t="shared" si="4"/>
        <v>KB</v>
      </c>
      <c r="AA30" s="75" t="s">
        <v>292</v>
      </c>
      <c r="AB30" s="75" t="s">
        <v>265</v>
      </c>
      <c r="AC30" s="76" t="str">
        <f t="shared" si="1"/>
        <v>KB$1321</v>
      </c>
      <c r="AD30" s="69" t="str">
        <f t="shared" si="2"/>
        <v>=Consolidated!KB$1321</v>
      </c>
      <c r="AE30" s="122" t="s">
        <v>358</v>
      </c>
      <c r="AG30" s="67">
        <v>3</v>
      </c>
      <c r="AI30" s="122" t="s">
        <v>349</v>
      </c>
      <c r="AJ30" s="122" t="s">
        <v>350</v>
      </c>
      <c r="AK30" s="122" t="s">
        <v>351</v>
      </c>
      <c r="AL30" s="122" t="s">
        <v>352</v>
      </c>
      <c r="AM30" s="122" t="s">
        <v>353</v>
      </c>
      <c r="AN30" s="122" t="s">
        <v>354</v>
      </c>
      <c r="AO30" s="69"/>
    </row>
    <row r="31" spans="1:41" outlineLevel="1">
      <c r="A31" s="81">
        <v>27</v>
      </c>
      <c r="B31" s="61"/>
      <c r="C31" s="591" t="s">
        <v>664</v>
      </c>
      <c r="D31" s="592">
        <f>'CIIP 2016 Revised Format'!U$24</f>
        <v>0</v>
      </c>
      <c r="E31" s="593" t="e">
        <f>'CIIP 2016 Revised Format'!#REF!</f>
        <v>#REF!</v>
      </c>
      <c r="F31" s="593" t="e">
        <f>'CIIP 2016 Revised Format'!#REF!</f>
        <v>#REF!</v>
      </c>
      <c r="G31" s="593" t="e">
        <f>'CIIP 2016 Revised Format'!#REF!</f>
        <v>#REF!</v>
      </c>
      <c r="H31" s="593" t="e">
        <f>'CIIP 2016 Revised Format'!#REF!</f>
        <v>#REF!</v>
      </c>
      <c r="I31" s="593" t="e">
        <f>'CIIP 2016 Revised Format'!#REF!</f>
        <v>#REF!</v>
      </c>
      <c r="J31" s="593" t="e">
        <f>'CIIP 2016 Revised Format'!#REF!</f>
        <v>#REF!</v>
      </c>
      <c r="K31" s="594" t="e">
        <f>'CIIP 2016 Revised Format'!#REF!</f>
        <v>#REF!</v>
      </c>
      <c r="L31" s="63"/>
      <c r="M31" s="63"/>
      <c r="N31" s="115"/>
      <c r="O31" s="116"/>
      <c r="R31" s="69"/>
      <c r="X31" s="121" t="s">
        <v>244</v>
      </c>
      <c r="Y31" s="121" t="s">
        <v>259</v>
      </c>
      <c r="Z31" s="121" t="str">
        <f t="shared" si="4"/>
        <v>KC</v>
      </c>
      <c r="AA31" s="75" t="s">
        <v>292</v>
      </c>
      <c r="AB31" s="75" t="s">
        <v>265</v>
      </c>
      <c r="AC31" s="76" t="str">
        <f t="shared" si="1"/>
        <v>KC$1321</v>
      </c>
      <c r="AD31" s="69" t="str">
        <f t="shared" si="2"/>
        <v>=Consolidated!KC$1321</v>
      </c>
      <c r="AE31" s="122" t="s">
        <v>359</v>
      </c>
      <c r="AG31" s="67">
        <v>4</v>
      </c>
      <c r="AI31" s="122" t="s">
        <v>356</v>
      </c>
      <c r="AJ31" s="122" t="s">
        <v>357</v>
      </c>
      <c r="AK31" s="122" t="s">
        <v>358</v>
      </c>
      <c r="AL31" s="122" t="s">
        <v>359</v>
      </c>
      <c r="AM31" s="122" t="s">
        <v>360</v>
      </c>
      <c r="AN31" s="122" t="s">
        <v>361</v>
      </c>
      <c r="AO31" s="69"/>
    </row>
    <row r="32" spans="1:41" outlineLevel="1">
      <c r="A32" s="81">
        <v>28</v>
      </c>
      <c r="B32" s="61"/>
      <c r="C32" s="445" t="s">
        <v>75</v>
      </c>
      <c r="D32" s="446">
        <f>'CIIP 2016 Revised Format'!AI$24</f>
        <v>0</v>
      </c>
      <c r="E32" s="447" t="e">
        <f>'CIIP 2016 Revised Format'!#REF!</f>
        <v>#REF!</v>
      </c>
      <c r="F32" s="447" t="e">
        <f>'CIIP 2016 Revised Format'!#REF!</f>
        <v>#REF!</v>
      </c>
      <c r="G32" s="447" t="e">
        <f>'CIIP 2016 Revised Format'!#REF!</f>
        <v>#REF!</v>
      </c>
      <c r="H32" s="447" t="e">
        <f>'CIIP 2016 Revised Format'!#REF!</f>
        <v>#REF!</v>
      </c>
      <c r="I32" s="447" t="e">
        <f>'CIIP 2016 Revised Format'!#REF!</f>
        <v>#REF!</v>
      </c>
      <c r="J32" s="447" t="e">
        <f>'CIIP 2016 Revised Format'!#REF!</f>
        <v>#REF!</v>
      </c>
      <c r="K32" s="448" t="e">
        <f>'CIIP 2016 Revised Format'!#REF!</f>
        <v>#REF!</v>
      </c>
      <c r="L32" s="63"/>
      <c r="M32" s="63"/>
      <c r="N32" s="115"/>
      <c r="O32" s="116"/>
      <c r="R32" s="69"/>
      <c r="X32" s="121"/>
      <c r="Y32" s="121"/>
      <c r="Z32" s="121"/>
      <c r="AA32" s="75"/>
      <c r="AB32" s="75"/>
      <c r="AC32" s="76"/>
      <c r="AD32" s="69"/>
      <c r="AE32" s="122"/>
      <c r="AI32" s="122"/>
      <c r="AJ32" s="122"/>
      <c r="AK32" s="122"/>
      <c r="AL32" s="122"/>
      <c r="AM32" s="122"/>
      <c r="AN32" s="122"/>
      <c r="AO32" s="69"/>
    </row>
    <row r="33" spans="1:42" outlineLevel="1">
      <c r="A33" s="81">
        <v>29</v>
      </c>
      <c r="B33" s="61"/>
      <c r="C33" s="445" t="s">
        <v>633</v>
      </c>
      <c r="D33" s="446">
        <f>'CIIP 2016 Revised Format'!AG$24</f>
        <v>0</v>
      </c>
      <c r="E33" s="447" t="e">
        <f>'CIIP 2016 Revised Format'!#REF!</f>
        <v>#REF!</v>
      </c>
      <c r="F33" s="447" t="e">
        <f>'CIIP 2016 Revised Format'!#REF!</f>
        <v>#REF!</v>
      </c>
      <c r="G33" s="447" t="e">
        <f>'CIIP 2016 Revised Format'!#REF!</f>
        <v>#REF!</v>
      </c>
      <c r="H33" s="447" t="e">
        <f>'CIIP 2016 Revised Format'!#REF!</f>
        <v>#REF!</v>
      </c>
      <c r="I33" s="447" t="e">
        <f>'CIIP 2016 Revised Format'!#REF!</f>
        <v>#REF!</v>
      </c>
      <c r="J33" s="447" t="e">
        <f>'CIIP 2016 Revised Format'!#REF!</f>
        <v>#REF!</v>
      </c>
      <c r="K33" s="449" t="e">
        <f>'CIIP 2016 Revised Format'!#REF!</f>
        <v>#REF!</v>
      </c>
      <c r="L33" s="63"/>
      <c r="M33" s="63"/>
      <c r="N33" s="115"/>
      <c r="O33" s="116"/>
      <c r="R33" s="69"/>
      <c r="X33" s="121"/>
      <c r="Y33" s="121"/>
      <c r="Z33" s="121"/>
      <c r="AA33" s="75"/>
      <c r="AB33" s="75"/>
      <c r="AC33" s="76"/>
      <c r="AD33" s="69"/>
      <c r="AE33" s="122"/>
      <c r="AI33" s="122"/>
      <c r="AJ33" s="122"/>
      <c r="AK33" s="122"/>
      <c r="AL33" s="122"/>
      <c r="AM33" s="122"/>
      <c r="AN33" s="122"/>
      <c r="AO33" s="69"/>
    </row>
    <row r="34" spans="1:42" outlineLevel="1">
      <c r="A34" s="81">
        <v>30</v>
      </c>
      <c r="B34" s="61"/>
      <c r="C34" s="445" t="s">
        <v>699</v>
      </c>
      <c r="D34" s="446">
        <f>'CIIP 2016 Revised Format'!AD$24</f>
        <v>0</v>
      </c>
      <c r="E34" s="447" t="e">
        <f>'CIIP 2016 Revised Format'!#REF!</f>
        <v>#REF!</v>
      </c>
      <c r="F34" s="447" t="e">
        <f>'CIIP 2016 Revised Format'!#REF!</f>
        <v>#REF!</v>
      </c>
      <c r="G34" s="447" t="e">
        <f>'CIIP 2016 Revised Format'!#REF!</f>
        <v>#REF!</v>
      </c>
      <c r="H34" s="447" t="e">
        <f>'CIIP 2016 Revised Format'!#REF!</f>
        <v>#REF!</v>
      </c>
      <c r="I34" s="447" t="e">
        <f>'CIIP 2016 Revised Format'!#REF!</f>
        <v>#REF!</v>
      </c>
      <c r="J34" s="447" t="e">
        <f>'CIIP 2016 Revised Format'!#REF!</f>
        <v>#REF!</v>
      </c>
      <c r="K34" s="449" t="e">
        <f>'CIIP 2016 Revised Format'!#REF!</f>
        <v>#REF!</v>
      </c>
      <c r="L34" s="63"/>
      <c r="M34" s="63"/>
      <c r="N34" s="115"/>
      <c r="O34" s="116"/>
      <c r="R34" s="69"/>
      <c r="X34" s="121"/>
      <c r="Y34" s="121"/>
      <c r="Z34" s="121"/>
      <c r="AA34" s="75"/>
      <c r="AB34" s="75"/>
      <c r="AC34" s="76"/>
      <c r="AD34" s="69"/>
      <c r="AE34" s="122"/>
      <c r="AI34" s="122"/>
      <c r="AJ34" s="122"/>
      <c r="AK34" s="122"/>
      <c r="AL34" s="122"/>
      <c r="AM34" s="122"/>
      <c r="AN34" s="122"/>
      <c r="AO34" s="69"/>
    </row>
    <row r="35" spans="1:42" outlineLevel="1">
      <c r="A35" s="81">
        <v>31</v>
      </c>
      <c r="B35" s="61"/>
      <c r="C35" s="445" t="s">
        <v>735</v>
      </c>
      <c r="D35" s="446">
        <f>'CIIP 2016 Revised Format'!AF$24</f>
        <v>0</v>
      </c>
      <c r="E35" s="447" t="e">
        <f>'CIIP 2016 Revised Format'!#REF!</f>
        <v>#REF!</v>
      </c>
      <c r="F35" s="447" t="e">
        <f>'CIIP 2016 Revised Format'!#REF!</f>
        <v>#REF!</v>
      </c>
      <c r="G35" s="447" t="e">
        <f>'CIIP 2016 Revised Format'!#REF!</f>
        <v>#REF!</v>
      </c>
      <c r="H35" s="447" t="e">
        <f>'CIIP 2016 Revised Format'!#REF!</f>
        <v>#REF!</v>
      </c>
      <c r="I35" s="447" t="e">
        <f>'CIIP 2016 Revised Format'!#REF!</f>
        <v>#REF!</v>
      </c>
      <c r="J35" s="447" t="e">
        <f>'CIIP 2016 Revised Format'!#REF!</f>
        <v>#REF!</v>
      </c>
      <c r="K35" s="449" t="e">
        <f>'CIIP 2016 Revised Format'!#REF!</f>
        <v>#REF!</v>
      </c>
      <c r="L35" s="63"/>
      <c r="M35" s="63"/>
      <c r="N35" s="115"/>
      <c r="O35" s="116"/>
      <c r="R35" s="69"/>
      <c r="X35" s="121"/>
      <c r="Y35" s="121"/>
      <c r="Z35" s="121"/>
      <c r="AA35" s="75"/>
      <c r="AB35" s="75"/>
      <c r="AC35" s="76"/>
      <c r="AD35" s="69"/>
      <c r="AE35" s="122"/>
      <c r="AI35" s="122"/>
      <c r="AJ35" s="122"/>
      <c r="AK35" s="122"/>
      <c r="AL35" s="122"/>
      <c r="AM35" s="122"/>
      <c r="AN35" s="122"/>
      <c r="AO35" s="69"/>
    </row>
    <row r="36" spans="1:42" outlineLevel="1">
      <c r="A36" s="81">
        <v>32</v>
      </c>
      <c r="B36" s="61"/>
      <c r="C36" s="445" t="s">
        <v>677</v>
      </c>
      <c r="D36" s="446">
        <f>'CIIP 2016 Revised Format'!W$24</f>
        <v>0</v>
      </c>
      <c r="E36" s="447" t="e">
        <f>'CIIP 2016 Revised Format'!#REF!</f>
        <v>#REF!</v>
      </c>
      <c r="F36" s="447" t="e">
        <f>'CIIP 2016 Revised Format'!#REF!</f>
        <v>#REF!</v>
      </c>
      <c r="G36" s="447" t="e">
        <f>'CIIP 2016 Revised Format'!#REF!</f>
        <v>#REF!</v>
      </c>
      <c r="H36" s="447" t="e">
        <f>'CIIP 2016 Revised Format'!#REF!</f>
        <v>#REF!</v>
      </c>
      <c r="I36" s="447" t="e">
        <f>'CIIP 2016 Revised Format'!#REF!</f>
        <v>#REF!</v>
      </c>
      <c r="J36" s="447" t="e">
        <f>'CIIP 2016 Revised Format'!#REF!</f>
        <v>#REF!</v>
      </c>
      <c r="K36" s="448" t="e">
        <f>'CIIP 2016 Revised Format'!#REF!</f>
        <v>#REF!</v>
      </c>
      <c r="L36" s="63"/>
      <c r="M36" s="63"/>
      <c r="N36" s="115"/>
      <c r="O36" s="116"/>
      <c r="R36" s="69"/>
      <c r="X36" s="121"/>
      <c r="Y36" s="121"/>
      <c r="Z36" s="121"/>
      <c r="AA36" s="75"/>
      <c r="AB36" s="75"/>
      <c r="AC36" s="76"/>
      <c r="AD36" s="69"/>
      <c r="AE36" s="122"/>
      <c r="AI36" s="122"/>
      <c r="AJ36" s="122"/>
      <c r="AK36" s="122"/>
      <c r="AL36" s="122"/>
      <c r="AM36" s="122"/>
      <c r="AN36" s="122"/>
      <c r="AO36" s="69"/>
    </row>
    <row r="37" spans="1:42" outlineLevel="1">
      <c r="A37" s="81">
        <v>33</v>
      </c>
      <c r="B37" s="61"/>
      <c r="C37" s="445" t="s">
        <v>79</v>
      </c>
      <c r="D37" s="446">
        <f>'CIIP 2016 Revised Format'!Z$24</f>
        <v>0</v>
      </c>
      <c r="E37" s="447" t="e">
        <f>'CIIP 2016 Revised Format'!#REF!</f>
        <v>#REF!</v>
      </c>
      <c r="F37" s="447" t="e">
        <f>'CIIP 2016 Revised Format'!#REF!</f>
        <v>#REF!</v>
      </c>
      <c r="G37" s="447" t="e">
        <f>'CIIP 2016 Revised Format'!#REF!</f>
        <v>#REF!</v>
      </c>
      <c r="H37" s="447" t="e">
        <f>'CIIP 2016 Revised Format'!#REF!</f>
        <v>#REF!</v>
      </c>
      <c r="I37" s="447" t="e">
        <f>'CIIP 2016 Revised Format'!#REF!</f>
        <v>#REF!</v>
      </c>
      <c r="J37" s="447" t="e">
        <f>'CIIP 2016 Revised Format'!#REF!</f>
        <v>#REF!</v>
      </c>
      <c r="K37" s="448" t="e">
        <f>'CIIP 2016 Revised Format'!#REF!</f>
        <v>#REF!</v>
      </c>
      <c r="L37" s="63"/>
      <c r="M37" s="63"/>
      <c r="N37" s="115"/>
      <c r="O37" s="116"/>
      <c r="R37" s="69"/>
      <c r="X37" s="121"/>
      <c r="Y37" s="121"/>
      <c r="Z37" s="121"/>
      <c r="AA37" s="75"/>
      <c r="AB37" s="75"/>
      <c r="AC37" s="76"/>
      <c r="AD37" s="69"/>
      <c r="AE37" s="122"/>
      <c r="AI37" s="122"/>
      <c r="AJ37" s="122"/>
      <c r="AK37" s="122"/>
      <c r="AL37" s="122"/>
      <c r="AM37" s="122"/>
      <c r="AN37" s="122"/>
      <c r="AO37" s="69"/>
    </row>
    <row r="38" spans="1:42" outlineLevel="1">
      <c r="A38" s="81">
        <v>34</v>
      </c>
      <c r="B38" s="61"/>
      <c r="C38" s="445" t="s">
        <v>748</v>
      </c>
      <c r="D38" s="446">
        <f>'CIIP 2016 Revised Format'!AB$24</f>
        <v>0</v>
      </c>
      <c r="E38" s="447" t="e">
        <f>'CIIP 2016 Revised Format'!#REF!</f>
        <v>#REF!</v>
      </c>
      <c r="F38" s="447" t="e">
        <f>'CIIP 2016 Revised Format'!#REF!</f>
        <v>#REF!</v>
      </c>
      <c r="G38" s="447" t="e">
        <f>'CIIP 2016 Revised Format'!#REF!</f>
        <v>#REF!</v>
      </c>
      <c r="H38" s="447" t="e">
        <f>'CIIP 2016 Revised Format'!#REF!</f>
        <v>#REF!</v>
      </c>
      <c r="I38" s="447" t="e">
        <f>'CIIP 2016 Revised Format'!#REF!</f>
        <v>#REF!</v>
      </c>
      <c r="J38" s="447" t="e">
        <f>'CIIP 2016 Revised Format'!#REF!</f>
        <v>#REF!</v>
      </c>
      <c r="K38" s="449" t="e">
        <f>'CIIP 2016 Revised Format'!#REF!</f>
        <v>#REF!</v>
      </c>
      <c r="L38" s="63"/>
      <c r="M38" s="63"/>
      <c r="N38" s="115"/>
      <c r="O38" s="116"/>
      <c r="R38" s="69"/>
      <c r="X38" s="121"/>
      <c r="Y38" s="121"/>
      <c r="Z38" s="121"/>
      <c r="AA38" s="75"/>
      <c r="AB38" s="75"/>
      <c r="AC38" s="76"/>
      <c r="AD38" s="69"/>
      <c r="AE38" s="122"/>
      <c r="AI38" s="122"/>
      <c r="AJ38" s="122"/>
      <c r="AK38" s="122"/>
      <c r="AL38" s="122"/>
      <c r="AM38" s="122"/>
      <c r="AN38" s="122"/>
      <c r="AO38" s="69"/>
    </row>
    <row r="39" spans="1:42" ht="15" outlineLevel="1" thickBot="1">
      <c r="A39" s="81">
        <v>35</v>
      </c>
      <c r="B39" s="61"/>
      <c r="C39" s="451" t="s">
        <v>828</v>
      </c>
      <c r="D39" s="59">
        <f>'CIIP 2016 Revised Format'!Y$24</f>
        <v>0</v>
      </c>
      <c r="E39" s="444" t="e">
        <f>'CIIP 2016 Revised Format'!#REF!</f>
        <v>#REF!</v>
      </c>
      <c r="F39" s="444" t="e">
        <f>'CIIP 2016 Revised Format'!#REF!</f>
        <v>#REF!</v>
      </c>
      <c r="G39" s="444" t="e">
        <f>'CIIP 2016 Revised Format'!#REF!</f>
        <v>#REF!</v>
      </c>
      <c r="H39" s="444" t="e">
        <f>'CIIP 2016 Revised Format'!#REF!</f>
        <v>#REF!</v>
      </c>
      <c r="I39" s="444" t="e">
        <f>'CIIP 2016 Revised Format'!#REF!</f>
        <v>#REF!</v>
      </c>
      <c r="J39" s="444" t="e">
        <f>'CIIP 2016 Revised Format'!#REF!</f>
        <v>#REF!</v>
      </c>
      <c r="K39" s="126" t="e">
        <f>'CIIP 2016 Revised Format'!#REF!</f>
        <v>#REF!</v>
      </c>
      <c r="L39" s="63"/>
      <c r="M39" s="63"/>
      <c r="N39" s="115"/>
      <c r="O39" s="116"/>
      <c r="R39" s="69"/>
      <c r="X39" s="121" t="s">
        <v>244</v>
      </c>
      <c r="Y39" s="121" t="s">
        <v>260</v>
      </c>
      <c r="Z39" s="121" t="str">
        <f t="shared" si="4"/>
        <v>KD</v>
      </c>
      <c r="AA39" s="75" t="s">
        <v>292</v>
      </c>
      <c r="AB39" s="75" t="s">
        <v>265</v>
      </c>
      <c r="AC39" s="76" t="str">
        <f t="shared" si="1"/>
        <v>KD$1321</v>
      </c>
      <c r="AD39" s="69" t="str">
        <f t="shared" si="2"/>
        <v>=Consolidated!KD$1321</v>
      </c>
      <c r="AE39" s="122" t="s">
        <v>360</v>
      </c>
      <c r="AG39" s="67">
        <v>5</v>
      </c>
      <c r="AI39" s="122" t="s">
        <v>363</v>
      </c>
      <c r="AJ39" s="122" t="s">
        <v>364</v>
      </c>
      <c r="AK39" s="122" t="s">
        <v>365</v>
      </c>
      <c r="AL39" s="122" t="s">
        <v>366</v>
      </c>
      <c r="AM39" s="122" t="s">
        <v>367</v>
      </c>
      <c r="AN39" s="122" t="s">
        <v>368</v>
      </c>
      <c r="AO39" s="69"/>
    </row>
    <row r="40" spans="1:42" ht="15" outlineLevel="1" thickBot="1">
      <c r="A40" s="81"/>
      <c r="B40" s="61"/>
      <c r="C40" s="61"/>
      <c r="D40" s="62"/>
      <c r="E40" s="62"/>
      <c r="F40" s="62"/>
      <c r="G40" s="62"/>
      <c r="H40" s="62"/>
      <c r="I40" s="62"/>
      <c r="J40" s="62"/>
      <c r="K40" s="63"/>
      <c r="L40" s="251"/>
      <c r="M40" s="251"/>
      <c r="N40" s="91"/>
      <c r="O40" s="75"/>
      <c r="P40" s="76"/>
      <c r="Q40" s="69"/>
      <c r="R40" s="69"/>
      <c r="U40" s="69"/>
      <c r="W40" s="69"/>
      <c r="X40" s="121" t="s">
        <v>244</v>
      </c>
      <c r="Y40" s="121" t="s">
        <v>261</v>
      </c>
      <c r="Z40" s="121" t="str">
        <f t="shared" si="4"/>
        <v>KE</v>
      </c>
      <c r="AA40" s="75" t="s">
        <v>292</v>
      </c>
      <c r="AB40" s="75" t="s">
        <v>265</v>
      </c>
      <c r="AC40" s="76" t="str">
        <f>CONCATENATE(Z40,AA40)</f>
        <v>KE$1321</v>
      </c>
      <c r="AD40" s="69" t="str">
        <f>CONCATENATE(AB40,AC40)</f>
        <v>=Consolidated!KE$1321</v>
      </c>
      <c r="AE40" s="122" t="s">
        <v>361</v>
      </c>
      <c r="AG40" s="67">
        <v>6</v>
      </c>
      <c r="AI40" s="122" t="s">
        <v>370</v>
      </c>
      <c r="AJ40" s="122" t="s">
        <v>371</v>
      </c>
      <c r="AK40" s="122" t="s">
        <v>372</v>
      </c>
      <c r="AL40" s="122" t="s">
        <v>373</v>
      </c>
      <c r="AM40" s="122" t="s">
        <v>374</v>
      </c>
      <c r="AN40" s="122" t="s">
        <v>375</v>
      </c>
      <c r="AO40" s="69"/>
    </row>
    <row r="41" spans="1:42" s="73" customFormat="1" ht="15" outlineLevel="1" thickBot="1">
      <c r="A41" s="83"/>
      <c r="B41" s="84"/>
      <c r="C41" s="54" t="s">
        <v>202</v>
      </c>
      <c r="D41" s="55">
        <f t="shared" ref="D41:K41" si="5">SUM(D5:D39)</f>
        <v>10</v>
      </c>
      <c r="E41" s="117" t="e">
        <f t="shared" si="5"/>
        <v>#REF!</v>
      </c>
      <c r="F41" s="117" t="e">
        <f t="shared" si="5"/>
        <v>#REF!</v>
      </c>
      <c r="G41" s="117" t="e">
        <f>SUM(G5:G39)</f>
        <v>#REF!</v>
      </c>
      <c r="H41" s="117" t="e">
        <f t="shared" si="5"/>
        <v>#REF!</v>
      </c>
      <c r="I41" s="117" t="e">
        <f t="shared" si="5"/>
        <v>#REF!</v>
      </c>
      <c r="J41" s="117" t="e">
        <f t="shared" si="5"/>
        <v>#REF!</v>
      </c>
      <c r="K41" s="64" t="e">
        <f t="shared" si="5"/>
        <v>#REF!</v>
      </c>
      <c r="L41" s="84"/>
      <c r="M41" s="84"/>
      <c r="N41" s="89"/>
      <c r="R41" s="69"/>
      <c r="V41" s="69"/>
      <c r="X41" s="121" t="s">
        <v>244</v>
      </c>
      <c r="Y41" s="121" t="s">
        <v>262</v>
      </c>
      <c r="Z41" s="121" t="str">
        <f t="shared" si="4"/>
        <v>KF</v>
      </c>
      <c r="AA41" s="75" t="s">
        <v>292</v>
      </c>
      <c r="AB41" s="75" t="s">
        <v>265</v>
      </c>
      <c r="AC41" s="76" t="str">
        <f>CONCATENATE(Z41,AA41)</f>
        <v>KF$1321</v>
      </c>
      <c r="AD41" s="69" t="str">
        <f>CONCATENATE(AB41,AC41)</f>
        <v>=Consolidated!KF$1321</v>
      </c>
      <c r="AE41" s="69" t="s">
        <v>362</v>
      </c>
      <c r="AG41" s="67"/>
      <c r="AI41" s="122" t="s">
        <v>377</v>
      </c>
      <c r="AJ41" s="122" t="s">
        <v>378</v>
      </c>
      <c r="AK41" s="122" t="s">
        <v>379</v>
      </c>
      <c r="AL41" s="122" t="s">
        <v>380</v>
      </c>
      <c r="AM41" s="122" t="s">
        <v>381</v>
      </c>
      <c r="AN41" s="122" t="s">
        <v>382</v>
      </c>
      <c r="AO41" s="69"/>
      <c r="AP41" s="67"/>
    </row>
    <row r="42" spans="1:42" outlineLevel="1">
      <c r="A42" s="83"/>
      <c r="B42" s="84"/>
      <c r="C42" s="84"/>
      <c r="D42" s="123"/>
      <c r="E42" s="124"/>
      <c r="F42" s="124"/>
      <c r="G42" s="124"/>
      <c r="H42" s="124"/>
      <c r="I42" s="124"/>
      <c r="J42" s="124"/>
      <c r="K42" s="125"/>
      <c r="L42" s="61"/>
      <c r="M42" s="61"/>
      <c r="N42" s="82"/>
      <c r="X42" s="121"/>
      <c r="Y42" s="121"/>
      <c r="Z42" s="121"/>
      <c r="AA42" s="75"/>
      <c r="AB42" s="75"/>
      <c r="AC42" s="76"/>
      <c r="AD42" s="69"/>
      <c r="AE42" s="122"/>
    </row>
    <row r="43" spans="1:42" outlineLevel="1">
      <c r="A43" s="83"/>
      <c r="B43" s="84"/>
      <c r="C43" s="84"/>
      <c r="D43" s="123"/>
      <c r="E43" s="124"/>
      <c r="F43" s="124"/>
      <c r="G43" s="124"/>
      <c r="H43" s="124"/>
      <c r="I43" s="124"/>
      <c r="J43" s="124"/>
      <c r="K43" s="125"/>
      <c r="L43" s="61"/>
      <c r="M43" s="61"/>
      <c r="N43" s="82"/>
      <c r="X43" s="121"/>
      <c r="Y43" s="121"/>
      <c r="Z43" s="121"/>
      <c r="AA43" s="75"/>
      <c r="AB43" s="75"/>
      <c r="AC43" s="76"/>
      <c r="AD43" s="69"/>
      <c r="AE43" s="122"/>
    </row>
    <row r="44" spans="1:42" outlineLevel="1">
      <c r="A44" s="83"/>
      <c r="B44" s="84"/>
      <c r="C44" s="84"/>
      <c r="D44" s="123"/>
      <c r="E44" s="124"/>
      <c r="F44" s="124"/>
      <c r="G44" s="124"/>
      <c r="H44" s="124"/>
      <c r="I44" s="124"/>
      <c r="J44" s="124"/>
      <c r="K44" s="125"/>
      <c r="L44" s="61"/>
      <c r="M44" s="61"/>
      <c r="N44" s="82"/>
      <c r="X44" s="121"/>
      <c r="Y44" s="121"/>
      <c r="Z44" s="121"/>
      <c r="AA44" s="75"/>
      <c r="AB44" s="75"/>
      <c r="AC44" s="76"/>
      <c r="AD44" s="69"/>
      <c r="AE44" s="122"/>
    </row>
    <row r="45" spans="1:42" outlineLevel="1">
      <c r="A45" s="83"/>
      <c r="B45" s="84"/>
      <c r="C45" s="84"/>
      <c r="D45" s="123"/>
      <c r="E45" s="124"/>
      <c r="F45" s="124"/>
      <c r="G45" s="124"/>
      <c r="H45" s="124"/>
      <c r="I45" s="124"/>
      <c r="J45" s="124"/>
      <c r="K45" s="125"/>
      <c r="L45" s="61"/>
      <c r="M45" s="61"/>
      <c r="N45" s="82"/>
      <c r="X45" s="121"/>
      <c r="Y45" s="121"/>
      <c r="Z45" s="121"/>
      <c r="AA45" s="75"/>
      <c r="AB45" s="75"/>
      <c r="AC45" s="76"/>
      <c r="AD45" s="69"/>
      <c r="AE45" s="122"/>
    </row>
    <row r="46" spans="1:42" outlineLevel="1">
      <c r="A46" s="83"/>
      <c r="B46" s="84"/>
      <c r="C46" s="84"/>
      <c r="D46" s="123"/>
      <c r="E46" s="124"/>
      <c r="F46" s="124"/>
      <c r="G46" s="124"/>
      <c r="H46" s="124"/>
      <c r="I46" s="124"/>
      <c r="J46" s="124"/>
      <c r="K46" s="125"/>
      <c r="L46" s="61"/>
      <c r="M46" s="61"/>
      <c r="N46" s="82"/>
      <c r="X46" s="121"/>
      <c r="Y46" s="121"/>
      <c r="Z46" s="121"/>
      <c r="AA46" s="75"/>
      <c r="AB46" s="75"/>
      <c r="AC46" s="76"/>
      <c r="AD46" s="69"/>
      <c r="AE46" s="122"/>
    </row>
    <row r="47" spans="1:42" outlineLevel="1">
      <c r="A47" s="83"/>
      <c r="B47" s="84"/>
      <c r="C47" s="84"/>
      <c r="D47" s="123"/>
      <c r="E47" s="124"/>
      <c r="F47" s="124"/>
      <c r="G47" s="124"/>
      <c r="H47" s="124"/>
      <c r="I47" s="124"/>
      <c r="J47" s="124"/>
      <c r="K47" s="125"/>
      <c r="L47" s="61"/>
      <c r="M47" s="61"/>
      <c r="N47" s="82"/>
      <c r="X47" s="121"/>
      <c r="Y47" s="121"/>
      <c r="Z47" s="121"/>
      <c r="AA47" s="75"/>
      <c r="AB47" s="75"/>
      <c r="AC47" s="76"/>
      <c r="AD47" s="69"/>
      <c r="AE47" s="122"/>
    </row>
    <row r="48" spans="1:42" outlineLevel="1">
      <c r="A48" s="83"/>
      <c r="B48" s="84"/>
      <c r="C48" s="84"/>
      <c r="D48" s="123"/>
      <c r="E48" s="124"/>
      <c r="F48" s="124"/>
      <c r="G48" s="124"/>
      <c r="H48" s="124"/>
      <c r="I48" s="124"/>
      <c r="J48" s="124"/>
      <c r="K48" s="125"/>
      <c r="L48" s="61"/>
      <c r="M48" s="61"/>
      <c r="N48" s="82"/>
      <c r="X48" s="121"/>
      <c r="Y48" s="121"/>
      <c r="Z48" s="121"/>
      <c r="AA48" s="75"/>
      <c r="AB48" s="75"/>
      <c r="AC48" s="76"/>
      <c r="AD48" s="69"/>
      <c r="AE48" s="122"/>
    </row>
    <row r="49" spans="1:31" outlineLevel="1">
      <c r="A49" s="83"/>
      <c r="B49" s="84"/>
      <c r="C49" s="84"/>
      <c r="D49" s="123"/>
      <c r="E49" s="124"/>
      <c r="F49" s="124"/>
      <c r="G49" s="124"/>
      <c r="H49" s="124"/>
      <c r="I49" s="124"/>
      <c r="J49" s="124"/>
      <c r="K49" s="125"/>
      <c r="L49" s="61"/>
      <c r="M49" s="61"/>
      <c r="N49" s="82"/>
      <c r="X49" s="121"/>
      <c r="Y49" s="121"/>
      <c r="Z49" s="121"/>
      <c r="AA49" s="75"/>
      <c r="AB49" s="75"/>
      <c r="AC49" s="76"/>
      <c r="AD49" s="69"/>
      <c r="AE49" s="122"/>
    </row>
    <row r="50" spans="1:31" outlineLevel="1">
      <c r="A50" s="83"/>
      <c r="B50" s="84"/>
      <c r="C50" s="84"/>
      <c r="D50" s="123"/>
      <c r="E50" s="124"/>
      <c r="F50" s="124"/>
      <c r="G50" s="124"/>
      <c r="H50" s="124"/>
      <c r="I50" s="124"/>
      <c r="J50" s="124"/>
      <c r="K50" s="125"/>
      <c r="L50" s="61"/>
      <c r="M50" s="61"/>
      <c r="N50" s="82"/>
      <c r="X50" s="121"/>
      <c r="Y50" s="121"/>
      <c r="Z50" s="121"/>
      <c r="AA50" s="75"/>
      <c r="AB50" s="75"/>
      <c r="AC50" s="76"/>
      <c r="AD50" s="69"/>
      <c r="AE50" s="122"/>
    </row>
    <row r="51" spans="1:31" outlineLevel="1">
      <c r="A51" s="83"/>
      <c r="B51" s="84"/>
      <c r="C51" s="84"/>
      <c r="D51" s="123"/>
      <c r="E51" s="124"/>
      <c r="F51" s="124"/>
      <c r="G51" s="124"/>
      <c r="H51" s="124"/>
      <c r="I51" s="124"/>
      <c r="J51" s="124"/>
      <c r="K51" s="125"/>
      <c r="L51" s="61"/>
      <c r="M51" s="61"/>
      <c r="N51" s="82"/>
      <c r="X51" s="121"/>
      <c r="Y51" s="121"/>
      <c r="Z51" s="121"/>
      <c r="AA51" s="75"/>
      <c r="AB51" s="75"/>
      <c r="AC51" s="76"/>
      <c r="AD51" s="69"/>
      <c r="AE51" s="122"/>
    </row>
    <row r="52" spans="1:31" outlineLevel="1">
      <c r="A52" s="83"/>
      <c r="B52" s="84"/>
      <c r="C52" s="84"/>
      <c r="D52" s="123"/>
      <c r="E52" s="124"/>
      <c r="F52" s="124"/>
      <c r="G52" s="124"/>
      <c r="H52" s="124"/>
      <c r="I52" s="124"/>
      <c r="J52" s="124"/>
      <c r="K52" s="125"/>
      <c r="L52" s="61"/>
      <c r="M52" s="61"/>
      <c r="N52" s="82"/>
      <c r="X52" s="121"/>
      <c r="Y52" s="121"/>
      <c r="Z52" s="121"/>
      <c r="AA52" s="75"/>
      <c r="AB52" s="75"/>
      <c r="AC52" s="76"/>
      <c r="AD52" s="69"/>
      <c r="AE52" s="122"/>
    </row>
    <row r="53" spans="1:31" outlineLevel="1">
      <c r="A53" s="83"/>
      <c r="B53" s="84"/>
      <c r="C53" s="84"/>
      <c r="D53" s="123"/>
      <c r="E53" s="124"/>
      <c r="F53" s="124"/>
      <c r="G53" s="124"/>
      <c r="H53" s="124"/>
      <c r="I53" s="124"/>
      <c r="J53" s="124"/>
      <c r="K53" s="125"/>
      <c r="L53" s="61"/>
      <c r="M53" s="61"/>
      <c r="N53" s="82"/>
      <c r="X53" s="121"/>
      <c r="Y53" s="121"/>
      <c r="Z53" s="121"/>
      <c r="AA53" s="75"/>
      <c r="AB53" s="75"/>
      <c r="AC53" s="76"/>
      <c r="AD53" s="69"/>
      <c r="AE53" s="122"/>
    </row>
    <row r="54" spans="1:31" outlineLevel="1">
      <c r="A54" s="83"/>
      <c r="B54" s="84"/>
      <c r="C54" s="84"/>
      <c r="D54" s="123"/>
      <c r="E54" s="124"/>
      <c r="F54" s="124"/>
      <c r="G54" s="124"/>
      <c r="H54" s="124"/>
      <c r="I54" s="124"/>
      <c r="J54" s="124"/>
      <c r="K54" s="125"/>
      <c r="L54" s="61"/>
      <c r="M54" s="61"/>
      <c r="N54" s="82"/>
      <c r="X54" s="121"/>
      <c r="Y54" s="121"/>
      <c r="Z54" s="121"/>
      <c r="AA54" s="75"/>
      <c r="AB54" s="75"/>
      <c r="AC54" s="76"/>
      <c r="AD54" s="69"/>
      <c r="AE54" s="122"/>
    </row>
    <row r="55" spans="1:31" outlineLevel="1">
      <c r="A55" s="83"/>
      <c r="B55" s="84"/>
      <c r="C55" s="84"/>
      <c r="D55" s="123"/>
      <c r="E55" s="124"/>
      <c r="F55" s="124"/>
      <c r="G55" s="124"/>
      <c r="H55" s="124"/>
      <c r="I55" s="124"/>
      <c r="J55" s="124"/>
      <c r="K55" s="125"/>
      <c r="L55" s="61"/>
      <c r="M55" s="61"/>
      <c r="N55" s="82"/>
      <c r="X55" s="121"/>
      <c r="Y55" s="121"/>
      <c r="Z55" s="121"/>
      <c r="AA55" s="75"/>
      <c r="AB55" s="75"/>
      <c r="AC55" s="76"/>
      <c r="AD55" s="69"/>
      <c r="AE55" s="122"/>
    </row>
    <row r="56" spans="1:31" outlineLevel="1">
      <c r="A56" s="83"/>
      <c r="B56" s="84"/>
      <c r="C56" s="84"/>
      <c r="D56" s="123"/>
      <c r="E56" s="124"/>
      <c r="F56" s="124"/>
      <c r="G56" s="124"/>
      <c r="H56" s="124"/>
      <c r="I56" s="124"/>
      <c r="J56" s="124"/>
      <c r="K56" s="125"/>
      <c r="L56" s="61"/>
      <c r="M56" s="61"/>
      <c r="N56" s="82"/>
      <c r="X56" s="121"/>
      <c r="Y56" s="121"/>
      <c r="Z56" s="121"/>
      <c r="AA56" s="75"/>
      <c r="AB56" s="75"/>
      <c r="AC56" s="76"/>
      <c r="AD56" s="69"/>
      <c r="AE56" s="122"/>
    </row>
    <row r="57" spans="1:31" outlineLevel="1">
      <c r="A57" s="83"/>
      <c r="B57" s="84"/>
      <c r="C57" s="84"/>
      <c r="D57" s="123"/>
      <c r="E57" s="124"/>
      <c r="F57" s="124"/>
      <c r="G57" s="124"/>
      <c r="H57" s="124"/>
      <c r="I57" s="124"/>
      <c r="J57" s="124"/>
      <c r="K57" s="125"/>
      <c r="L57" s="61"/>
      <c r="M57" s="61"/>
      <c r="N57" s="82"/>
      <c r="X57" s="121"/>
      <c r="Y57" s="121"/>
      <c r="Z57" s="121"/>
      <c r="AA57" s="75"/>
      <c r="AB57" s="75"/>
      <c r="AC57" s="76"/>
      <c r="AD57" s="69"/>
      <c r="AE57" s="122"/>
    </row>
    <row r="58" spans="1:31" outlineLevel="1">
      <c r="A58" s="83"/>
      <c r="B58" s="84"/>
      <c r="C58" s="84"/>
      <c r="D58" s="123"/>
      <c r="E58" s="124"/>
      <c r="F58" s="124"/>
      <c r="G58" s="124"/>
      <c r="H58" s="124"/>
      <c r="I58" s="124"/>
      <c r="J58" s="124"/>
      <c r="K58" s="125"/>
      <c r="L58" s="61"/>
      <c r="M58" s="61"/>
      <c r="N58" s="82"/>
      <c r="X58" s="121"/>
      <c r="Y58" s="121"/>
      <c r="Z58" s="121"/>
      <c r="AA58" s="75"/>
      <c r="AB58" s="75"/>
      <c r="AC58" s="76"/>
      <c r="AD58" s="69"/>
      <c r="AE58" s="122"/>
    </row>
    <row r="59" spans="1:31" outlineLevel="1">
      <c r="A59" s="83"/>
      <c r="B59" s="84"/>
      <c r="C59" s="84"/>
      <c r="D59" s="123"/>
      <c r="E59" s="124"/>
      <c r="F59" s="124"/>
      <c r="G59" s="124"/>
      <c r="H59" s="124"/>
      <c r="I59" s="124"/>
      <c r="J59" s="124"/>
      <c r="K59" s="125"/>
      <c r="L59" s="61"/>
      <c r="M59" s="61"/>
      <c r="N59" s="82"/>
      <c r="X59" s="121"/>
      <c r="Y59" s="121"/>
      <c r="Z59" s="121"/>
      <c r="AA59" s="75"/>
      <c r="AB59" s="75"/>
      <c r="AC59" s="76"/>
      <c r="AD59" s="69"/>
      <c r="AE59" s="122"/>
    </row>
    <row r="60" spans="1:31" outlineLevel="1">
      <c r="A60" s="83"/>
      <c r="B60" s="84"/>
      <c r="C60" s="84"/>
      <c r="D60" s="123"/>
      <c r="E60" s="124"/>
      <c r="F60" s="124"/>
      <c r="G60" s="124"/>
      <c r="H60" s="124"/>
      <c r="I60" s="124"/>
      <c r="J60" s="124"/>
      <c r="K60" s="125"/>
      <c r="L60" s="61"/>
      <c r="M60" s="61"/>
      <c r="N60" s="82"/>
      <c r="X60" s="121"/>
      <c r="Y60" s="121"/>
      <c r="Z60" s="121"/>
      <c r="AA60" s="75"/>
      <c r="AB60" s="75"/>
      <c r="AC60" s="76"/>
      <c r="AD60" s="69"/>
      <c r="AE60" s="122"/>
    </row>
    <row r="61" spans="1:31" outlineLevel="1">
      <c r="A61" s="83"/>
      <c r="B61" s="84"/>
      <c r="C61" s="84"/>
      <c r="D61" s="123"/>
      <c r="E61" s="124"/>
      <c r="F61" s="124"/>
      <c r="G61" s="124"/>
      <c r="H61" s="124"/>
      <c r="I61" s="124"/>
      <c r="J61" s="124"/>
      <c r="K61" s="125"/>
      <c r="L61" s="61"/>
      <c r="M61" s="61"/>
      <c r="N61" s="82"/>
      <c r="X61" s="121"/>
      <c r="Y61" s="121"/>
      <c r="Z61" s="121"/>
      <c r="AA61" s="75"/>
      <c r="AB61" s="75"/>
      <c r="AC61" s="76"/>
      <c r="AD61" s="69"/>
      <c r="AE61" s="122"/>
    </row>
    <row r="62" spans="1:31" outlineLevel="1">
      <c r="A62" s="83"/>
      <c r="B62" s="84"/>
      <c r="C62" s="84"/>
      <c r="D62" s="123"/>
      <c r="E62" s="124"/>
      <c r="F62" s="124"/>
      <c r="G62" s="124"/>
      <c r="H62" s="124"/>
      <c r="I62" s="124"/>
      <c r="J62" s="124"/>
      <c r="K62" s="125"/>
      <c r="L62" s="61"/>
      <c r="M62" s="61"/>
      <c r="N62" s="82"/>
      <c r="X62" s="121"/>
      <c r="Y62" s="121"/>
      <c r="Z62" s="121"/>
      <c r="AA62" s="75"/>
      <c r="AB62" s="75"/>
      <c r="AC62" s="76"/>
      <c r="AD62" s="69"/>
      <c r="AE62" s="122"/>
    </row>
    <row r="63" spans="1:31" outlineLevel="1">
      <c r="A63" s="83"/>
      <c r="B63" s="84"/>
      <c r="C63" s="84"/>
      <c r="D63" s="123"/>
      <c r="E63" s="124"/>
      <c r="F63" s="124"/>
      <c r="G63" s="124"/>
      <c r="H63" s="124"/>
      <c r="I63" s="124"/>
      <c r="J63" s="124"/>
      <c r="K63" s="125"/>
      <c r="L63" s="61"/>
      <c r="M63" s="61"/>
      <c r="N63" s="82"/>
      <c r="X63" s="121"/>
      <c r="Y63" s="121"/>
      <c r="Z63" s="121"/>
      <c r="AA63" s="75"/>
      <c r="AB63" s="75"/>
      <c r="AC63" s="76"/>
      <c r="AD63" s="69"/>
      <c r="AE63" s="122"/>
    </row>
    <row r="64" spans="1:31" outlineLevel="1">
      <c r="A64" s="83"/>
      <c r="B64" s="84"/>
      <c r="C64" s="84"/>
      <c r="D64" s="123"/>
      <c r="E64" s="124"/>
      <c r="F64" s="124"/>
      <c r="G64" s="124"/>
      <c r="H64" s="124"/>
      <c r="I64" s="124"/>
      <c r="J64" s="124"/>
      <c r="K64" s="125"/>
      <c r="L64" s="61"/>
      <c r="M64" s="61"/>
      <c r="N64" s="82"/>
      <c r="X64" s="121"/>
      <c r="Y64" s="121"/>
      <c r="Z64" s="121"/>
      <c r="AA64" s="75"/>
      <c r="AB64" s="75"/>
      <c r="AC64" s="76"/>
      <c r="AD64" s="69"/>
      <c r="AE64" s="122"/>
    </row>
    <row r="65" spans="1:31" outlineLevel="1">
      <c r="A65" s="83"/>
      <c r="B65" s="84"/>
      <c r="C65" s="84"/>
      <c r="D65" s="123"/>
      <c r="E65" s="124"/>
      <c r="F65" s="124"/>
      <c r="G65" s="124"/>
      <c r="H65" s="124"/>
      <c r="I65" s="124"/>
      <c r="J65" s="124"/>
      <c r="K65" s="125"/>
      <c r="L65" s="61"/>
      <c r="M65" s="61"/>
      <c r="N65" s="82"/>
      <c r="X65" s="121"/>
      <c r="Y65" s="121"/>
      <c r="Z65" s="121"/>
      <c r="AA65" s="75"/>
      <c r="AB65" s="75"/>
      <c r="AC65" s="76"/>
      <c r="AD65" s="69"/>
      <c r="AE65" s="122"/>
    </row>
    <row r="66" spans="1:31" outlineLevel="1">
      <c r="A66" s="83"/>
      <c r="B66" s="84"/>
      <c r="C66" s="84"/>
      <c r="D66" s="123"/>
      <c r="E66" s="124"/>
      <c r="F66" s="124"/>
      <c r="G66" s="124"/>
      <c r="H66" s="124"/>
      <c r="I66" s="124"/>
      <c r="J66" s="124"/>
      <c r="K66" s="125"/>
      <c r="L66" s="61"/>
      <c r="M66" s="61"/>
      <c r="N66" s="82"/>
      <c r="X66" s="121"/>
      <c r="Y66" s="121"/>
      <c r="Z66" s="121"/>
      <c r="AA66" s="75"/>
      <c r="AB66" s="75"/>
      <c r="AC66" s="76"/>
      <c r="AD66" s="69"/>
      <c r="AE66" s="122"/>
    </row>
    <row r="67" spans="1:31" outlineLevel="1">
      <c r="A67" s="83"/>
      <c r="B67" s="84"/>
      <c r="C67" s="84"/>
      <c r="D67" s="123"/>
      <c r="E67" s="124"/>
      <c r="F67" s="124"/>
      <c r="G67" s="124"/>
      <c r="H67" s="124"/>
      <c r="I67" s="124"/>
      <c r="J67" s="124"/>
      <c r="K67" s="125"/>
      <c r="L67" s="61"/>
      <c r="M67" s="61"/>
      <c r="N67" s="82"/>
      <c r="X67" s="121"/>
      <c r="Y67" s="121"/>
      <c r="Z67" s="121"/>
      <c r="AA67" s="75"/>
      <c r="AB67" s="75"/>
      <c r="AC67" s="76"/>
      <c r="AD67" s="69"/>
      <c r="AE67" s="122"/>
    </row>
    <row r="68" spans="1:31" outlineLevel="1">
      <c r="A68" s="83"/>
      <c r="B68" s="84"/>
      <c r="C68" s="84"/>
      <c r="D68" s="123"/>
      <c r="E68" s="124"/>
      <c r="F68" s="124"/>
      <c r="G68" s="124"/>
      <c r="H68" s="124"/>
      <c r="I68" s="124"/>
      <c r="J68" s="124"/>
      <c r="K68" s="125"/>
      <c r="L68" s="61"/>
      <c r="M68" s="61"/>
      <c r="N68" s="82"/>
      <c r="X68" s="121"/>
      <c r="Y68" s="121"/>
      <c r="Z68" s="121"/>
      <c r="AA68" s="75"/>
      <c r="AB68" s="75"/>
      <c r="AC68" s="76"/>
      <c r="AD68" s="69"/>
      <c r="AE68" s="122"/>
    </row>
    <row r="69" spans="1:31" outlineLevel="1">
      <c r="A69" s="83"/>
      <c r="B69" s="84"/>
      <c r="C69" s="84"/>
      <c r="D69" s="123"/>
      <c r="E69" s="124"/>
      <c r="F69" s="124"/>
      <c r="G69" s="124"/>
      <c r="H69" s="124"/>
      <c r="I69" s="124"/>
      <c r="J69" s="124"/>
      <c r="K69" s="125"/>
      <c r="L69" s="61"/>
      <c r="M69" s="61"/>
      <c r="N69" s="82"/>
      <c r="X69" s="121"/>
      <c r="Y69" s="121"/>
      <c r="Z69" s="121"/>
      <c r="AA69" s="75"/>
      <c r="AB69" s="75"/>
      <c r="AC69" s="76"/>
      <c r="AD69" s="69"/>
      <c r="AE69" s="122"/>
    </row>
    <row r="70" spans="1:31" outlineLevel="1">
      <c r="A70" s="83"/>
      <c r="B70" s="84"/>
      <c r="C70" s="84"/>
      <c r="D70" s="123"/>
      <c r="E70" s="124"/>
      <c r="F70" s="124"/>
      <c r="G70" s="124"/>
      <c r="H70" s="124"/>
      <c r="I70" s="124"/>
      <c r="J70" s="124"/>
      <c r="K70" s="125"/>
      <c r="L70" s="61"/>
      <c r="M70" s="61"/>
      <c r="N70" s="82"/>
      <c r="X70" s="121"/>
      <c r="Y70" s="121"/>
      <c r="Z70" s="121"/>
      <c r="AA70" s="75"/>
      <c r="AB70" s="75"/>
      <c r="AC70" s="76"/>
      <c r="AD70" s="69"/>
      <c r="AE70" s="122"/>
    </row>
    <row r="71" spans="1:31" outlineLevel="1">
      <c r="A71" s="83"/>
      <c r="B71" s="84"/>
      <c r="C71" s="84"/>
      <c r="D71" s="123"/>
      <c r="E71" s="124"/>
      <c r="F71" s="124"/>
      <c r="G71" s="124"/>
      <c r="H71" s="124"/>
      <c r="I71" s="124"/>
      <c r="J71" s="124"/>
      <c r="K71" s="125"/>
      <c r="L71" s="61"/>
      <c r="M71" s="61"/>
      <c r="N71" s="82"/>
      <c r="X71" s="121"/>
      <c r="Y71" s="121"/>
      <c r="Z71" s="121"/>
      <c r="AA71" s="75"/>
      <c r="AB71" s="75"/>
      <c r="AC71" s="76"/>
      <c r="AD71" s="69"/>
      <c r="AE71" s="122"/>
    </row>
    <row r="72" spans="1:31" outlineLevel="1">
      <c r="A72" s="83"/>
      <c r="B72" s="84"/>
      <c r="C72" s="84"/>
      <c r="D72" s="123"/>
      <c r="E72" s="124"/>
      <c r="F72" s="124"/>
      <c r="G72" s="124"/>
      <c r="H72" s="124"/>
      <c r="I72" s="124"/>
      <c r="J72" s="124"/>
      <c r="K72" s="125"/>
      <c r="L72" s="61"/>
      <c r="M72" s="61"/>
      <c r="N72" s="82"/>
      <c r="X72" s="121"/>
      <c r="Y72" s="121"/>
      <c r="Z72" s="121"/>
      <c r="AA72" s="75"/>
      <c r="AB72" s="75"/>
      <c r="AC72" s="76"/>
      <c r="AD72" s="69"/>
      <c r="AE72" s="122"/>
    </row>
    <row r="73" spans="1:31" outlineLevel="1">
      <c r="A73" s="83"/>
      <c r="B73" s="84"/>
      <c r="C73" s="84"/>
      <c r="D73" s="123"/>
      <c r="E73" s="124"/>
      <c r="F73" s="124"/>
      <c r="G73" s="124"/>
      <c r="H73" s="124"/>
      <c r="I73" s="124"/>
      <c r="J73" s="124"/>
      <c r="K73" s="125"/>
      <c r="L73" s="61"/>
      <c r="M73" s="61"/>
      <c r="N73" s="82"/>
      <c r="X73" s="121"/>
      <c r="Y73" s="121"/>
      <c r="Z73" s="121"/>
      <c r="AA73" s="75"/>
      <c r="AB73" s="75"/>
      <c r="AC73" s="76"/>
      <c r="AD73" s="69"/>
      <c r="AE73" s="122"/>
    </row>
    <row r="74" spans="1:31" outlineLevel="1">
      <c r="A74" s="83"/>
      <c r="B74" s="84"/>
      <c r="C74" s="84"/>
      <c r="D74" s="123"/>
      <c r="E74" s="124"/>
      <c r="F74" s="124"/>
      <c r="G74" s="124"/>
      <c r="H74" s="124"/>
      <c r="I74" s="124"/>
      <c r="J74" s="124"/>
      <c r="K74" s="125"/>
      <c r="L74" s="61"/>
      <c r="M74" s="61"/>
      <c r="N74" s="82"/>
      <c r="X74" s="121"/>
      <c r="Y74" s="121"/>
      <c r="Z74" s="121"/>
      <c r="AA74" s="75"/>
      <c r="AB74" s="75"/>
      <c r="AC74" s="76"/>
      <c r="AD74" s="69"/>
      <c r="AE74" s="122"/>
    </row>
    <row r="75" spans="1:31" outlineLevel="1">
      <c r="A75" s="83"/>
      <c r="B75" s="84"/>
      <c r="C75" s="84"/>
      <c r="D75" s="123"/>
      <c r="E75" s="124"/>
      <c r="F75" s="124"/>
      <c r="G75" s="124"/>
      <c r="H75" s="124"/>
      <c r="I75" s="124"/>
      <c r="J75" s="124"/>
      <c r="K75" s="125"/>
      <c r="L75" s="61"/>
      <c r="M75" s="61"/>
      <c r="N75" s="82"/>
      <c r="X75" s="121"/>
      <c r="Y75" s="121"/>
      <c r="Z75" s="121"/>
      <c r="AA75" s="75"/>
      <c r="AB75" s="75"/>
      <c r="AC75" s="76"/>
      <c r="AD75" s="69"/>
      <c r="AE75" s="122"/>
    </row>
    <row r="76" spans="1:31" outlineLevel="1">
      <c r="A76" s="83"/>
      <c r="B76" s="84"/>
      <c r="C76" s="84"/>
      <c r="D76" s="123"/>
      <c r="E76" s="124"/>
      <c r="F76" s="124"/>
      <c r="G76" s="124"/>
      <c r="H76" s="124"/>
      <c r="I76" s="124"/>
      <c r="J76" s="124"/>
      <c r="K76" s="125"/>
      <c r="L76" s="61"/>
      <c r="M76" s="61"/>
      <c r="N76" s="82"/>
      <c r="X76" s="121"/>
      <c r="Y76" s="121"/>
      <c r="Z76" s="121"/>
      <c r="AA76" s="75"/>
      <c r="AB76" s="75"/>
      <c r="AC76" s="76"/>
      <c r="AD76" s="69"/>
      <c r="AE76" s="122"/>
    </row>
    <row r="77" spans="1:31" outlineLevel="1">
      <c r="A77" s="83"/>
      <c r="B77" s="84"/>
      <c r="C77" s="84"/>
      <c r="D77" s="123"/>
      <c r="E77" s="124"/>
      <c r="F77" s="124"/>
      <c r="G77" s="124"/>
      <c r="H77" s="124"/>
      <c r="I77" s="124"/>
      <c r="J77" s="124"/>
      <c r="K77" s="125"/>
      <c r="L77" s="61"/>
      <c r="M77" s="61"/>
      <c r="N77" s="82"/>
      <c r="X77" s="121"/>
      <c r="Y77" s="121"/>
      <c r="Z77" s="121"/>
      <c r="AA77" s="75"/>
      <c r="AB77" s="75"/>
      <c r="AC77" s="76"/>
      <c r="AD77" s="69"/>
      <c r="AE77" s="122"/>
    </row>
    <row r="78" spans="1:31" outlineLevel="1">
      <c r="A78" s="83"/>
      <c r="B78" s="84"/>
      <c r="C78" s="84"/>
      <c r="D78" s="123"/>
      <c r="E78" s="124"/>
      <c r="F78" s="124"/>
      <c r="G78" s="124"/>
      <c r="H78" s="124"/>
      <c r="I78" s="124"/>
      <c r="J78" s="124"/>
      <c r="K78" s="125"/>
      <c r="L78" s="61"/>
      <c r="M78" s="61"/>
      <c r="N78" s="82"/>
      <c r="X78" s="121"/>
      <c r="Y78" s="121"/>
      <c r="Z78" s="121"/>
      <c r="AA78" s="75"/>
      <c r="AB78" s="75"/>
      <c r="AC78" s="76"/>
      <c r="AD78" s="69"/>
      <c r="AE78" s="122"/>
    </row>
    <row r="79" spans="1:31" outlineLevel="1">
      <c r="A79" s="83"/>
      <c r="B79" s="84"/>
      <c r="C79" s="84"/>
      <c r="D79" s="123"/>
      <c r="E79" s="124"/>
      <c r="F79" s="124"/>
      <c r="G79" s="124"/>
      <c r="H79" s="124"/>
      <c r="I79" s="124"/>
      <c r="J79" s="124"/>
      <c r="K79" s="125"/>
      <c r="L79" s="61"/>
      <c r="M79" s="61"/>
      <c r="N79" s="82"/>
      <c r="X79" s="121"/>
      <c r="Y79" s="121"/>
      <c r="Z79" s="121"/>
      <c r="AA79" s="75"/>
      <c r="AB79" s="75"/>
      <c r="AC79" s="76"/>
      <c r="AD79" s="69"/>
      <c r="AE79" s="122"/>
    </row>
    <row r="80" spans="1:31" outlineLevel="1">
      <c r="A80" s="83"/>
      <c r="B80" s="84"/>
      <c r="C80" s="84"/>
      <c r="D80" s="123"/>
      <c r="E80" s="124"/>
      <c r="F80" s="124"/>
      <c r="G80" s="124"/>
      <c r="H80" s="124"/>
      <c r="I80" s="124"/>
      <c r="J80" s="124"/>
      <c r="K80" s="125"/>
      <c r="L80" s="61"/>
      <c r="M80" s="61"/>
      <c r="N80" s="82"/>
      <c r="X80" s="121"/>
      <c r="Y80" s="121"/>
      <c r="Z80" s="121"/>
      <c r="AA80" s="75"/>
      <c r="AB80" s="75"/>
      <c r="AC80" s="76"/>
      <c r="AD80" s="69"/>
      <c r="AE80" s="122"/>
    </row>
    <row r="81" spans="1:31" outlineLevel="1">
      <c r="A81" s="83"/>
      <c r="B81" s="84"/>
      <c r="C81" s="84"/>
      <c r="D81" s="123"/>
      <c r="E81" s="124"/>
      <c r="F81" s="124"/>
      <c r="G81" s="124"/>
      <c r="H81" s="124"/>
      <c r="I81" s="124"/>
      <c r="J81" s="124"/>
      <c r="K81" s="125"/>
      <c r="L81" s="61"/>
      <c r="M81" s="61"/>
      <c r="N81" s="82"/>
      <c r="X81" s="121"/>
      <c r="Y81" s="121"/>
      <c r="Z81" s="121"/>
      <c r="AA81" s="75"/>
      <c r="AB81" s="75"/>
      <c r="AC81" s="76"/>
      <c r="AD81" s="69"/>
      <c r="AE81" s="122"/>
    </row>
    <row r="82" spans="1:31" outlineLevel="1">
      <c r="A82" s="83"/>
      <c r="B82" s="84"/>
      <c r="C82" s="84"/>
      <c r="D82" s="123"/>
      <c r="E82" s="124"/>
      <c r="F82" s="124"/>
      <c r="G82" s="124"/>
      <c r="H82" s="124"/>
      <c r="I82" s="124"/>
      <c r="J82" s="124"/>
      <c r="K82" s="125"/>
      <c r="L82" s="61"/>
      <c r="M82" s="61"/>
      <c r="N82" s="82"/>
      <c r="X82" s="121"/>
      <c r="Y82" s="121"/>
      <c r="Z82" s="121"/>
      <c r="AA82" s="75"/>
      <c r="AB82" s="75"/>
      <c r="AC82" s="76"/>
      <c r="AD82" s="69"/>
      <c r="AE82" s="122"/>
    </row>
    <row r="83" spans="1:31" outlineLevel="1">
      <c r="A83" s="83"/>
      <c r="B83" s="84"/>
      <c r="C83" s="84"/>
      <c r="D83" s="123"/>
      <c r="E83" s="124"/>
      <c r="F83" s="124"/>
      <c r="G83" s="124"/>
      <c r="H83" s="124"/>
      <c r="I83" s="124"/>
      <c r="J83" s="124"/>
      <c r="K83" s="125"/>
      <c r="L83" s="61"/>
      <c r="M83" s="61"/>
      <c r="N83" s="82"/>
      <c r="X83" s="121"/>
      <c r="Y83" s="121"/>
      <c r="Z83" s="121"/>
      <c r="AA83" s="75"/>
      <c r="AB83" s="75"/>
      <c r="AC83" s="76"/>
      <c r="AD83" s="69"/>
      <c r="AE83" s="122"/>
    </row>
    <row r="84" spans="1:31" outlineLevel="1">
      <c r="A84" s="83"/>
      <c r="B84" s="84"/>
      <c r="C84" s="84"/>
      <c r="D84" s="123"/>
      <c r="E84" s="124"/>
      <c r="F84" s="124"/>
      <c r="G84" s="124"/>
      <c r="H84" s="124"/>
      <c r="I84" s="124"/>
      <c r="J84" s="124"/>
      <c r="K84" s="125"/>
      <c r="L84" s="61"/>
      <c r="M84" s="61"/>
      <c r="N84" s="82"/>
      <c r="X84" s="121"/>
      <c r="Y84" s="121"/>
      <c r="Z84" s="121"/>
      <c r="AA84" s="75"/>
      <c r="AB84" s="75"/>
      <c r="AC84" s="76"/>
      <c r="AD84" s="69"/>
      <c r="AE84" s="122"/>
    </row>
    <row r="85" spans="1:31" outlineLevel="1">
      <c r="A85" s="83"/>
      <c r="B85" s="84"/>
      <c r="C85" s="84"/>
      <c r="D85" s="123"/>
      <c r="E85" s="124"/>
      <c r="F85" s="124"/>
      <c r="G85" s="124"/>
      <c r="H85" s="124"/>
      <c r="I85" s="124"/>
      <c r="J85" s="124"/>
      <c r="K85" s="125"/>
      <c r="L85" s="61"/>
      <c r="M85" s="61"/>
      <c r="N85" s="82"/>
      <c r="X85" s="121"/>
      <c r="Y85" s="121"/>
      <c r="Z85" s="121"/>
      <c r="AA85" s="75"/>
      <c r="AB85" s="75"/>
      <c r="AC85" s="76"/>
      <c r="AD85" s="69"/>
      <c r="AE85" s="122"/>
    </row>
    <row r="86" spans="1:31" outlineLevel="1">
      <c r="A86" s="83"/>
      <c r="B86" s="84"/>
      <c r="C86" s="84"/>
      <c r="D86" s="123"/>
      <c r="E86" s="124"/>
      <c r="F86" s="124"/>
      <c r="G86" s="124"/>
      <c r="H86" s="124"/>
      <c r="I86" s="124"/>
      <c r="J86" s="124"/>
      <c r="K86" s="125"/>
      <c r="L86" s="61"/>
      <c r="M86" s="61"/>
      <c r="N86" s="82"/>
      <c r="X86" s="121"/>
      <c r="Y86" s="121"/>
      <c r="Z86" s="121"/>
      <c r="AA86" s="75"/>
      <c r="AB86" s="75"/>
      <c r="AC86" s="76"/>
      <c r="AD86" s="69"/>
      <c r="AE86" s="122"/>
    </row>
    <row r="87" spans="1:31" outlineLevel="1">
      <c r="A87" s="83"/>
      <c r="B87" s="84"/>
      <c r="C87" s="84"/>
      <c r="D87" s="123"/>
      <c r="E87" s="124"/>
      <c r="F87" s="124"/>
      <c r="G87" s="124"/>
      <c r="H87" s="124"/>
      <c r="I87" s="124"/>
      <c r="J87" s="124"/>
      <c r="K87" s="125"/>
      <c r="L87" s="61"/>
      <c r="M87" s="61"/>
      <c r="N87" s="82"/>
      <c r="X87" s="121"/>
      <c r="Y87" s="121"/>
      <c r="Z87" s="121"/>
      <c r="AA87" s="75"/>
      <c r="AB87" s="75"/>
      <c r="AC87" s="76"/>
      <c r="AD87" s="69"/>
      <c r="AE87" s="122"/>
    </row>
    <row r="88" spans="1:31" outlineLevel="1">
      <c r="A88" s="83"/>
      <c r="B88" s="84"/>
      <c r="C88" s="84"/>
      <c r="D88" s="123"/>
      <c r="E88" s="124"/>
      <c r="F88" s="124"/>
      <c r="G88" s="124"/>
      <c r="H88" s="124"/>
      <c r="I88" s="124"/>
      <c r="J88" s="124"/>
      <c r="K88" s="125"/>
      <c r="L88" s="61"/>
      <c r="M88" s="61"/>
      <c r="N88" s="82"/>
      <c r="X88" s="121"/>
      <c r="Y88" s="121"/>
      <c r="Z88" s="121"/>
      <c r="AA88" s="75"/>
      <c r="AB88" s="75"/>
      <c r="AC88" s="76"/>
      <c r="AD88" s="69"/>
      <c r="AE88" s="122"/>
    </row>
    <row r="89" spans="1:31" outlineLevel="1">
      <c r="A89" s="83"/>
      <c r="B89" s="84"/>
      <c r="C89" s="84"/>
      <c r="D89" s="123"/>
      <c r="E89" s="124"/>
      <c r="F89" s="124"/>
      <c r="G89" s="124"/>
      <c r="H89" s="124"/>
      <c r="I89" s="124"/>
      <c r="J89" s="124"/>
      <c r="K89" s="125"/>
      <c r="L89" s="61"/>
      <c r="M89" s="61"/>
      <c r="N89" s="82"/>
      <c r="X89" s="121"/>
      <c r="Y89" s="121"/>
      <c r="Z89" s="121"/>
      <c r="AA89" s="75"/>
      <c r="AB89" s="75"/>
      <c r="AC89" s="76"/>
      <c r="AD89" s="69"/>
      <c r="AE89" s="122"/>
    </row>
    <row r="90" spans="1:31" outlineLevel="1">
      <c r="A90" s="83"/>
      <c r="B90" s="84"/>
      <c r="C90" s="84"/>
      <c r="D90" s="123"/>
      <c r="E90" s="124"/>
      <c r="F90" s="124"/>
      <c r="G90" s="124"/>
      <c r="H90" s="124"/>
      <c r="I90" s="124"/>
      <c r="J90" s="124"/>
      <c r="K90" s="125"/>
      <c r="L90" s="61"/>
      <c r="M90" s="61"/>
      <c r="N90" s="82"/>
      <c r="X90" s="121"/>
      <c r="Y90" s="121"/>
      <c r="Z90" s="121"/>
      <c r="AA90" s="75"/>
      <c r="AB90" s="75"/>
      <c r="AC90" s="76"/>
      <c r="AD90" s="69"/>
      <c r="AE90" s="122"/>
    </row>
    <row r="91" spans="1:31" outlineLevel="1">
      <c r="A91" s="83"/>
      <c r="B91" s="84"/>
      <c r="C91" s="84"/>
      <c r="D91" s="123"/>
      <c r="E91" s="124"/>
      <c r="F91" s="124"/>
      <c r="G91" s="124"/>
      <c r="H91" s="124"/>
      <c r="I91" s="124"/>
      <c r="J91" s="124"/>
      <c r="K91" s="125"/>
      <c r="L91" s="61"/>
      <c r="M91" s="61"/>
      <c r="N91" s="82"/>
      <c r="X91" s="121"/>
      <c r="Y91" s="121"/>
      <c r="Z91" s="121"/>
      <c r="AA91" s="75"/>
      <c r="AB91" s="75"/>
      <c r="AC91" s="76"/>
      <c r="AD91" s="69"/>
      <c r="AE91" s="122"/>
    </row>
    <row r="92" spans="1:31" outlineLevel="1">
      <c r="A92" s="83"/>
      <c r="B92" s="84"/>
      <c r="C92" s="84"/>
      <c r="D92" s="123"/>
      <c r="E92" s="124"/>
      <c r="F92" s="124"/>
      <c r="G92" s="124"/>
      <c r="H92" s="124"/>
      <c r="I92" s="124"/>
      <c r="J92" s="124"/>
      <c r="K92" s="125"/>
      <c r="L92" s="61"/>
      <c r="M92" s="61"/>
      <c r="N92" s="82"/>
      <c r="X92" s="121"/>
      <c r="Y92" s="121"/>
      <c r="Z92" s="121"/>
      <c r="AA92" s="75"/>
      <c r="AB92" s="75"/>
      <c r="AC92" s="76"/>
      <c r="AD92" s="69"/>
      <c r="AE92" s="122"/>
    </row>
    <row r="93" spans="1:31" outlineLevel="1">
      <c r="A93" s="83"/>
      <c r="B93" s="84"/>
      <c r="C93" s="84"/>
      <c r="D93" s="123"/>
      <c r="E93" s="124"/>
      <c r="F93" s="124"/>
      <c r="G93" s="124"/>
      <c r="H93" s="124"/>
      <c r="I93" s="124"/>
      <c r="J93" s="124"/>
      <c r="K93" s="125"/>
      <c r="L93" s="61"/>
      <c r="M93" s="61"/>
      <c r="N93" s="82"/>
      <c r="X93" s="121"/>
      <c r="Y93" s="121"/>
      <c r="Z93" s="121"/>
      <c r="AA93" s="75"/>
      <c r="AB93" s="75"/>
      <c r="AC93" s="76"/>
      <c r="AD93" s="69"/>
      <c r="AE93" s="122"/>
    </row>
    <row r="94" spans="1:31" outlineLevel="1">
      <c r="A94" s="83"/>
      <c r="B94" s="84"/>
      <c r="C94" s="84"/>
      <c r="D94" s="123"/>
      <c r="E94" s="124"/>
      <c r="F94" s="124"/>
      <c r="G94" s="124"/>
      <c r="H94" s="124"/>
      <c r="I94" s="124"/>
      <c r="J94" s="124"/>
      <c r="K94" s="125"/>
      <c r="L94" s="61"/>
      <c r="M94" s="61"/>
      <c r="N94" s="82"/>
      <c r="X94" s="121"/>
      <c r="Y94" s="121"/>
      <c r="Z94" s="121"/>
      <c r="AA94" s="75"/>
      <c r="AB94" s="75"/>
      <c r="AC94" s="76"/>
      <c r="AD94" s="69"/>
      <c r="AE94" s="122"/>
    </row>
    <row r="95" spans="1:31" outlineLevel="1">
      <c r="A95" s="83"/>
      <c r="B95" s="84"/>
      <c r="C95" s="84"/>
      <c r="D95" s="123"/>
      <c r="E95" s="124"/>
      <c r="F95" s="124"/>
      <c r="G95" s="124"/>
      <c r="H95" s="124"/>
      <c r="I95" s="124"/>
      <c r="J95" s="124"/>
      <c r="K95" s="125"/>
      <c r="L95" s="61"/>
      <c r="M95" s="61"/>
      <c r="N95" s="82"/>
      <c r="X95" s="121"/>
      <c r="Y95" s="121"/>
      <c r="Z95" s="121"/>
      <c r="AA95" s="75"/>
      <c r="AB95" s="75"/>
      <c r="AC95" s="76"/>
      <c r="AD95" s="69"/>
      <c r="AE95" s="122"/>
    </row>
    <row r="96" spans="1:31" outlineLevel="1">
      <c r="A96" s="83"/>
      <c r="B96" s="84"/>
      <c r="C96" s="84"/>
      <c r="D96" s="123"/>
      <c r="E96" s="124"/>
      <c r="F96" s="124"/>
      <c r="G96" s="124"/>
      <c r="H96" s="124"/>
      <c r="I96" s="124"/>
      <c r="J96" s="124"/>
      <c r="K96" s="125"/>
      <c r="L96" s="61"/>
      <c r="M96" s="61"/>
      <c r="N96" s="82"/>
      <c r="X96" s="121"/>
      <c r="Y96" s="121"/>
      <c r="Z96" s="121"/>
      <c r="AA96" s="75"/>
      <c r="AB96" s="75"/>
      <c r="AC96" s="76"/>
      <c r="AD96" s="69"/>
      <c r="AE96" s="122"/>
    </row>
    <row r="97" spans="1:41" outlineLevel="1">
      <c r="A97" s="83"/>
      <c r="B97" s="84"/>
      <c r="C97" s="84"/>
      <c r="D97" s="123"/>
      <c r="E97" s="124"/>
      <c r="F97" s="124"/>
      <c r="G97" s="124"/>
      <c r="H97" s="124"/>
      <c r="I97" s="124"/>
      <c r="J97" s="124"/>
      <c r="K97" s="125"/>
      <c r="L97" s="61"/>
      <c r="M97" s="61"/>
      <c r="N97" s="82"/>
      <c r="X97" s="121"/>
      <c r="Y97" s="121"/>
      <c r="Z97" s="121"/>
      <c r="AA97" s="75"/>
      <c r="AB97" s="75"/>
      <c r="AC97" s="76"/>
      <c r="AD97" s="69"/>
      <c r="AE97" s="122"/>
    </row>
    <row r="98" spans="1:41" outlineLevel="1">
      <c r="A98" s="83"/>
      <c r="B98" s="84"/>
      <c r="C98" s="84"/>
      <c r="D98" s="123"/>
      <c r="E98" s="124"/>
      <c r="F98" s="124"/>
      <c r="G98" s="124"/>
      <c r="H98" s="124"/>
      <c r="I98" s="124"/>
      <c r="J98" s="124"/>
      <c r="K98" s="125"/>
      <c r="L98" s="61"/>
      <c r="M98" s="61"/>
      <c r="N98" s="82"/>
      <c r="X98" s="121"/>
      <c r="Y98" s="121"/>
      <c r="Z98" s="121"/>
      <c r="AA98" s="75"/>
      <c r="AB98" s="75"/>
      <c r="AC98" s="76"/>
      <c r="AD98" s="69"/>
      <c r="AE98" s="122"/>
    </row>
    <row r="99" spans="1:41" outlineLevel="1">
      <c r="A99" s="83"/>
      <c r="B99" s="84"/>
      <c r="C99" s="84"/>
      <c r="D99" s="123"/>
      <c r="E99" s="124"/>
      <c r="F99" s="124"/>
      <c r="G99" s="124"/>
      <c r="H99" s="124"/>
      <c r="I99" s="124"/>
      <c r="J99" s="124"/>
      <c r="K99" s="125"/>
      <c r="L99" s="61"/>
      <c r="M99" s="61"/>
      <c r="N99" s="82"/>
      <c r="X99" s="121"/>
      <c r="Y99" s="121"/>
      <c r="Z99" s="121"/>
      <c r="AA99" s="75"/>
      <c r="AB99" s="75"/>
      <c r="AC99" s="76"/>
      <c r="AD99" s="69"/>
      <c r="AE99" s="122"/>
    </row>
    <row r="100" spans="1:41" outlineLevel="1">
      <c r="A100" s="83"/>
      <c r="B100" s="84"/>
      <c r="C100" s="84"/>
      <c r="D100" s="123"/>
      <c r="E100" s="124"/>
      <c r="F100" s="124"/>
      <c r="G100" s="124"/>
      <c r="H100" s="124"/>
      <c r="I100" s="124"/>
      <c r="J100" s="124"/>
      <c r="K100" s="125"/>
      <c r="L100" s="61"/>
      <c r="M100" s="61"/>
      <c r="N100" s="82"/>
      <c r="X100" s="121"/>
      <c r="Y100" s="121"/>
      <c r="Z100" s="121"/>
      <c r="AA100" s="75"/>
      <c r="AB100" s="75"/>
      <c r="AC100" s="76"/>
      <c r="AD100" s="69"/>
      <c r="AE100" s="122"/>
    </row>
    <row r="101" spans="1:41" outlineLevel="1">
      <c r="A101" s="83"/>
      <c r="B101" s="84"/>
      <c r="C101" s="84"/>
      <c r="D101" s="123"/>
      <c r="E101" s="124"/>
      <c r="F101" s="124"/>
      <c r="G101" s="124"/>
      <c r="H101" s="124"/>
      <c r="I101" s="124"/>
      <c r="J101" s="124"/>
      <c r="K101" s="125"/>
      <c r="L101" s="61"/>
      <c r="M101" s="61"/>
      <c r="N101" s="82"/>
      <c r="X101" s="121"/>
      <c r="Y101" s="121"/>
      <c r="Z101" s="121"/>
      <c r="AA101" s="75"/>
      <c r="AB101" s="75"/>
      <c r="AC101" s="76"/>
      <c r="AD101" s="69"/>
      <c r="AE101" s="122"/>
    </row>
    <row r="102" spans="1:41" outlineLevel="1">
      <c r="A102" s="83"/>
      <c r="B102" s="84"/>
      <c r="C102" s="84"/>
      <c r="D102" s="123"/>
      <c r="E102" s="124"/>
      <c r="F102" s="124"/>
      <c r="G102" s="124"/>
      <c r="H102" s="124"/>
      <c r="I102" s="124"/>
      <c r="J102" s="124"/>
      <c r="K102" s="125"/>
      <c r="L102" s="61"/>
      <c r="M102" s="61"/>
      <c r="N102" s="82"/>
      <c r="X102" s="121"/>
      <c r="Y102" s="121"/>
      <c r="Z102" s="121"/>
      <c r="AA102" s="75"/>
      <c r="AB102" s="75"/>
      <c r="AC102" s="76"/>
      <c r="AD102" s="69"/>
      <c r="AE102" s="122"/>
    </row>
    <row r="103" spans="1:41" outlineLevel="1">
      <c r="A103" s="83"/>
      <c r="B103" s="84"/>
      <c r="C103" s="84"/>
      <c r="D103" s="123"/>
      <c r="E103" s="124"/>
      <c r="F103" s="124"/>
      <c r="G103" s="124"/>
      <c r="H103" s="124"/>
      <c r="I103" s="124"/>
      <c r="J103" s="124"/>
      <c r="K103" s="125"/>
      <c r="L103" s="61"/>
      <c r="M103" s="61"/>
      <c r="N103" s="82"/>
      <c r="X103" s="121"/>
      <c r="Y103" s="121"/>
      <c r="Z103" s="121"/>
      <c r="AA103" s="75"/>
      <c r="AB103" s="75"/>
      <c r="AC103" s="76"/>
      <c r="AD103" s="69"/>
      <c r="AE103" s="122"/>
    </row>
    <row r="104" spans="1:41" outlineLevel="1">
      <c r="A104" s="83"/>
      <c r="B104" s="84"/>
      <c r="C104" s="84"/>
      <c r="D104" s="123"/>
      <c r="E104" s="124"/>
      <c r="F104" s="124"/>
      <c r="G104" s="124"/>
      <c r="H104" s="124"/>
      <c r="I104" s="124"/>
      <c r="J104" s="124"/>
      <c r="K104" s="125"/>
      <c r="L104" s="61"/>
      <c r="M104" s="61"/>
      <c r="N104" s="82"/>
      <c r="X104" s="121"/>
      <c r="Y104" s="121"/>
      <c r="Z104" s="121"/>
      <c r="AA104" s="75"/>
      <c r="AB104" s="75"/>
      <c r="AC104" s="76"/>
      <c r="AD104" s="69"/>
      <c r="AE104" s="122"/>
    </row>
    <row r="105" spans="1:41" outlineLevel="1">
      <c r="A105" s="83"/>
      <c r="B105" s="84"/>
      <c r="C105" s="84"/>
      <c r="D105" s="123"/>
      <c r="E105" s="124"/>
      <c r="F105" s="124"/>
      <c r="G105" s="124"/>
      <c r="H105" s="124"/>
      <c r="I105" s="124"/>
      <c r="J105" s="124"/>
      <c r="K105" s="125"/>
      <c r="L105" s="61"/>
      <c r="M105" s="61"/>
      <c r="N105" s="82"/>
      <c r="X105" s="121"/>
      <c r="Y105" s="121"/>
      <c r="Z105" s="121"/>
      <c r="AA105" s="75"/>
      <c r="AB105" s="75"/>
      <c r="AC105" s="76"/>
      <c r="AD105" s="69"/>
      <c r="AE105" s="122"/>
    </row>
    <row r="106" spans="1:41" outlineLevel="1">
      <c r="A106" s="83"/>
      <c r="B106" s="84"/>
      <c r="C106" s="84"/>
      <c r="D106" s="123"/>
      <c r="E106" s="124"/>
      <c r="F106" s="124"/>
      <c r="G106" s="124"/>
      <c r="H106" s="124"/>
      <c r="I106" s="124"/>
      <c r="J106" s="124"/>
      <c r="K106" s="125"/>
      <c r="L106" s="61"/>
      <c r="M106" s="61"/>
      <c r="N106" s="82"/>
      <c r="X106" s="121"/>
      <c r="Y106" s="121"/>
      <c r="Z106" s="121"/>
      <c r="AA106" s="75"/>
      <c r="AB106" s="75"/>
      <c r="AC106" s="76"/>
      <c r="AD106" s="69"/>
      <c r="AE106" s="122"/>
    </row>
    <row r="107" spans="1:41" outlineLevel="1">
      <c r="A107" s="83"/>
      <c r="B107" s="84"/>
      <c r="C107" s="84"/>
      <c r="D107" s="123"/>
      <c r="E107" s="124"/>
      <c r="F107" s="124"/>
      <c r="G107" s="124"/>
      <c r="H107" s="124"/>
      <c r="I107" s="124"/>
      <c r="J107" s="124"/>
      <c r="K107" s="125"/>
      <c r="L107" s="61"/>
      <c r="M107" s="61"/>
      <c r="N107" s="82"/>
      <c r="X107" s="121"/>
      <c r="Y107" s="121"/>
      <c r="Z107" s="121"/>
      <c r="AA107" s="75"/>
      <c r="AB107" s="75"/>
      <c r="AC107" s="76"/>
      <c r="AD107" s="69"/>
      <c r="AE107" s="122"/>
    </row>
    <row r="108" spans="1:41" outlineLevel="1">
      <c r="A108" s="81"/>
      <c r="B108" s="61"/>
      <c r="C108" s="61"/>
      <c r="D108" s="61"/>
      <c r="E108" s="61"/>
      <c r="F108" s="61"/>
      <c r="G108" s="61"/>
      <c r="H108" s="61"/>
      <c r="I108" s="61"/>
      <c r="J108" s="61"/>
      <c r="K108" s="61"/>
      <c r="L108" s="61"/>
      <c r="M108" s="61"/>
      <c r="N108" s="82"/>
      <c r="X108" s="121" t="s">
        <v>245</v>
      </c>
      <c r="Y108" s="121" t="s">
        <v>263</v>
      </c>
      <c r="Z108" s="121" t="str">
        <f t="shared" ref="Z108:Z135" si="6">CONCATENATE(X108,Y108)</f>
        <v>LH</v>
      </c>
      <c r="AA108" s="75" t="s">
        <v>292</v>
      </c>
      <c r="AB108" s="75" t="s">
        <v>265</v>
      </c>
      <c r="AC108" s="76" t="str">
        <f t="shared" ref="AC108:AC121" si="7">CONCATENATE(Z108,AA108)</f>
        <v>LH$1321</v>
      </c>
      <c r="AD108" s="69" t="str">
        <f t="shared" ref="AD108:AD121" si="8">CONCATENATE(AB108,AC108)</f>
        <v>=Consolidated!LH$1321</v>
      </c>
      <c r="AE108" s="69" t="s">
        <v>390</v>
      </c>
    </row>
    <row r="109" spans="1:41" outlineLevel="1">
      <c r="A109" s="81"/>
      <c r="B109" s="61"/>
      <c r="C109" s="61"/>
      <c r="D109" s="61"/>
      <c r="E109" s="61"/>
      <c r="F109" s="61"/>
      <c r="G109" s="61"/>
      <c r="H109" s="61"/>
      <c r="I109" s="61"/>
      <c r="J109" s="61"/>
      <c r="K109" s="61"/>
      <c r="L109" s="61"/>
      <c r="M109" s="61"/>
      <c r="N109" s="82"/>
      <c r="X109" s="121" t="s">
        <v>244</v>
      </c>
      <c r="Y109" s="121" t="s">
        <v>264</v>
      </c>
      <c r="Z109" s="121" t="str">
        <f t="shared" si="6"/>
        <v>KG</v>
      </c>
      <c r="AA109" s="75" t="s">
        <v>292</v>
      </c>
      <c r="AB109" s="75" t="s">
        <v>265</v>
      </c>
      <c r="AC109" s="76" t="str">
        <f t="shared" si="7"/>
        <v>KG$1321</v>
      </c>
      <c r="AD109" s="69" t="str">
        <f t="shared" si="8"/>
        <v>=Consolidated!KG$1321</v>
      </c>
      <c r="AE109" s="122" t="s">
        <v>363</v>
      </c>
      <c r="AG109" s="67">
        <v>1</v>
      </c>
      <c r="AI109" s="122" t="s">
        <v>384</v>
      </c>
      <c r="AJ109" s="122" t="s">
        <v>385</v>
      </c>
      <c r="AK109" s="122" t="s">
        <v>386</v>
      </c>
      <c r="AL109" s="122" t="s">
        <v>387</v>
      </c>
      <c r="AM109" s="122" t="s">
        <v>388</v>
      </c>
      <c r="AN109" s="122" t="s">
        <v>389</v>
      </c>
      <c r="AO109" s="69"/>
    </row>
    <row r="110" spans="1:41" ht="15" thickBot="1">
      <c r="A110" s="85"/>
      <c r="B110" s="86"/>
      <c r="C110" s="86"/>
      <c r="D110" s="86"/>
      <c r="E110" s="86"/>
      <c r="F110" s="86"/>
      <c r="G110" s="86"/>
      <c r="H110" s="86"/>
      <c r="I110" s="86"/>
      <c r="J110" s="86"/>
      <c r="K110" s="86"/>
      <c r="L110" s="86"/>
      <c r="M110" s="86"/>
      <c r="N110" s="87"/>
      <c r="X110" s="121" t="s">
        <v>244</v>
      </c>
      <c r="Y110" s="121" t="s">
        <v>263</v>
      </c>
      <c r="Z110" s="121" t="str">
        <f t="shared" si="6"/>
        <v>KH</v>
      </c>
      <c r="AA110" s="75" t="s">
        <v>292</v>
      </c>
      <c r="AB110" s="75" t="s">
        <v>265</v>
      </c>
      <c r="AC110" s="76" t="str">
        <f t="shared" si="7"/>
        <v>KH$1321</v>
      </c>
      <c r="AD110" s="69" t="str">
        <f t="shared" si="8"/>
        <v>=Consolidated!KH$1321</v>
      </c>
      <c r="AE110" s="122" t="s">
        <v>364</v>
      </c>
      <c r="AG110" s="67">
        <v>2</v>
      </c>
      <c r="AI110" s="122" t="s">
        <v>391</v>
      </c>
      <c r="AJ110" s="122" t="s">
        <v>392</v>
      </c>
      <c r="AK110" s="122" t="s">
        <v>393</v>
      </c>
      <c r="AL110" s="122" t="s">
        <v>394</v>
      </c>
      <c r="AM110" s="122" t="s">
        <v>395</v>
      </c>
      <c r="AN110" s="122" t="s">
        <v>396</v>
      </c>
      <c r="AO110" s="90"/>
    </row>
    <row r="111" spans="1:41" ht="18">
      <c r="A111" s="77"/>
      <c r="B111" s="78"/>
      <c r="C111" s="79" t="s">
        <v>285</v>
      </c>
      <c r="D111" s="78"/>
      <c r="E111" s="78"/>
      <c r="F111" s="78"/>
      <c r="G111" s="78"/>
      <c r="H111" s="78"/>
      <c r="I111" s="78"/>
      <c r="J111" s="78"/>
      <c r="K111" s="78"/>
      <c r="L111" s="78"/>
      <c r="M111" s="78"/>
      <c r="N111" s="80"/>
      <c r="X111" s="121" t="s">
        <v>244</v>
      </c>
      <c r="Y111" s="121" t="s">
        <v>204</v>
      </c>
      <c r="Z111" s="121" t="str">
        <f t="shared" si="6"/>
        <v>KI</v>
      </c>
      <c r="AA111" s="75" t="s">
        <v>292</v>
      </c>
      <c r="AB111" s="75" t="s">
        <v>265</v>
      </c>
      <c r="AC111" s="76" t="str">
        <f t="shared" si="7"/>
        <v>KI$1321</v>
      </c>
      <c r="AD111" s="69" t="str">
        <f t="shared" si="8"/>
        <v>=Consolidated!KI$1321</v>
      </c>
      <c r="AE111" s="122" t="s">
        <v>365</v>
      </c>
      <c r="AG111" s="67">
        <v>3</v>
      </c>
      <c r="AI111" s="122" t="s">
        <v>398</v>
      </c>
      <c r="AJ111" s="122" t="s">
        <v>399</v>
      </c>
      <c r="AK111" s="122" t="s">
        <v>400</v>
      </c>
      <c r="AL111" s="122" t="s">
        <v>401</v>
      </c>
      <c r="AM111" s="122" t="s">
        <v>402</v>
      </c>
      <c r="AN111" s="122" t="s">
        <v>403</v>
      </c>
      <c r="AO111" s="69"/>
    </row>
    <row r="112" spans="1:41" ht="15" outlineLevel="1" thickBot="1">
      <c r="A112" s="81"/>
      <c r="B112" s="61"/>
      <c r="C112" s="61"/>
      <c r="D112" s="61"/>
      <c r="E112" s="61"/>
      <c r="F112" s="61"/>
      <c r="G112" s="61"/>
      <c r="H112" s="61"/>
      <c r="I112" s="61"/>
      <c r="J112" s="61"/>
      <c r="K112" s="61"/>
      <c r="L112" s="61"/>
      <c r="M112" s="61"/>
      <c r="N112" s="82"/>
      <c r="X112" s="121" t="s">
        <v>244</v>
      </c>
      <c r="Y112" s="121" t="s">
        <v>243</v>
      </c>
      <c r="Z112" s="121" t="str">
        <f t="shared" si="6"/>
        <v>KJ</v>
      </c>
      <c r="AA112" s="75" t="s">
        <v>292</v>
      </c>
      <c r="AB112" s="75" t="s">
        <v>265</v>
      </c>
      <c r="AC112" s="76" t="str">
        <f t="shared" si="7"/>
        <v>KJ$1321</v>
      </c>
      <c r="AD112" s="69" t="str">
        <f t="shared" si="8"/>
        <v>=Consolidated!KJ$1321</v>
      </c>
      <c r="AE112" s="122" t="s">
        <v>366</v>
      </c>
      <c r="AG112" s="67">
        <v>4</v>
      </c>
      <c r="AI112" s="122" t="s">
        <v>405</v>
      </c>
      <c r="AJ112" s="122" t="s">
        <v>406</v>
      </c>
      <c r="AK112" s="122" t="s">
        <v>407</v>
      </c>
      <c r="AL112" s="122" t="s">
        <v>408</v>
      </c>
      <c r="AM112" s="122" t="s">
        <v>410</v>
      </c>
      <c r="AN112" s="122" t="s">
        <v>411</v>
      </c>
      <c r="AO112" s="69"/>
    </row>
    <row r="113" spans="1:41" ht="43.2" outlineLevel="1">
      <c r="A113" s="83"/>
      <c r="B113" s="84"/>
      <c r="C113" s="71" t="s">
        <v>572</v>
      </c>
      <c r="D113" s="96" t="s">
        <v>240</v>
      </c>
      <c r="E113" s="107">
        <v>2013</v>
      </c>
      <c r="F113" s="107">
        <v>2014</v>
      </c>
      <c r="G113" s="107">
        <v>2015</v>
      </c>
      <c r="H113" s="107">
        <v>2016</v>
      </c>
      <c r="I113" s="107" t="s">
        <v>290</v>
      </c>
      <c r="J113" s="270" t="s">
        <v>301</v>
      </c>
      <c r="K113" s="270" t="s">
        <v>300</v>
      </c>
      <c r="L113" s="270" t="s">
        <v>570</v>
      </c>
      <c r="M113" s="72" t="s">
        <v>574</v>
      </c>
      <c r="N113" s="82"/>
      <c r="T113" s="67" t="s">
        <v>266</v>
      </c>
      <c r="U113" s="67" t="s">
        <v>204</v>
      </c>
      <c r="V113" s="67" t="str">
        <f t="shared" ref="V113:V125" si="9">CONCATENATE(T113," ", U113)</f>
        <v>Region I</v>
      </c>
      <c r="X113" s="121" t="s">
        <v>244</v>
      </c>
      <c r="Y113" s="121" t="s">
        <v>244</v>
      </c>
      <c r="Z113" s="121" t="str">
        <f t="shared" si="6"/>
        <v>KK</v>
      </c>
      <c r="AA113" s="75" t="s">
        <v>292</v>
      </c>
      <c r="AB113" s="75" t="s">
        <v>265</v>
      </c>
      <c r="AC113" s="76" t="str">
        <f t="shared" si="7"/>
        <v>KK$1321</v>
      </c>
      <c r="AD113" s="69" t="str">
        <f t="shared" si="8"/>
        <v>=Consolidated!KK$1321</v>
      </c>
      <c r="AE113" s="122" t="s">
        <v>367</v>
      </c>
      <c r="AG113" s="67">
        <v>5</v>
      </c>
      <c r="AI113" s="122" t="s">
        <v>413</v>
      </c>
      <c r="AJ113" s="122" t="s">
        <v>414</v>
      </c>
      <c r="AK113" s="122" t="s">
        <v>415</v>
      </c>
      <c r="AL113" s="122" t="s">
        <v>416</v>
      </c>
      <c r="AM113" s="122" t="s">
        <v>417</v>
      </c>
      <c r="AN113" s="122" t="s">
        <v>418</v>
      </c>
      <c r="AO113" s="69"/>
    </row>
    <row r="114" spans="1:41" ht="15" outlineLevel="1" thickBot="1">
      <c r="A114" s="81">
        <v>1</v>
      </c>
      <c r="B114" s="61"/>
      <c r="C114" s="257" t="s">
        <v>14</v>
      </c>
      <c r="D114" s="258">
        <f>'CIIP 2016 Revised Format'!BD$24</f>
        <v>0</v>
      </c>
      <c r="E114" s="267" t="e">
        <f>'CIIP 2016 Revised Format'!#REF!</f>
        <v>#REF!</v>
      </c>
      <c r="F114" s="267" t="e">
        <f>'CIIP 2016 Revised Format'!#REF!</f>
        <v>#REF!</v>
      </c>
      <c r="G114" s="267" t="e">
        <f>'CIIP 2016 Revised Format'!#REF!</f>
        <v>#REF!</v>
      </c>
      <c r="H114" s="267" t="e">
        <f>'CIIP 2016 Revised Format'!#REF!</f>
        <v>#REF!</v>
      </c>
      <c r="I114" s="267" t="e">
        <f>'CIIP 2016 Revised Format'!#REF!</f>
        <v>#REF!</v>
      </c>
      <c r="J114" s="267" t="e">
        <f>'CIIP 2016 Revised Format'!#REF!</f>
        <v>#REF!</v>
      </c>
      <c r="K114" s="267" t="e">
        <f>'CIIP 2016 Revised Format'!#REF!</f>
        <v>#REF!</v>
      </c>
      <c r="L114" s="267">
        <v>92335113</v>
      </c>
      <c r="M114" s="263" t="e">
        <f>(K114/L114)*1000</f>
        <v>#REF!</v>
      </c>
      <c r="N114" s="115"/>
      <c r="O114" s="116"/>
      <c r="T114" s="67" t="s">
        <v>266</v>
      </c>
      <c r="U114" s="67" t="s">
        <v>206</v>
      </c>
      <c r="V114" s="67" t="str">
        <f t="shared" si="9"/>
        <v>Region III</v>
      </c>
      <c r="X114" s="121" t="s">
        <v>244</v>
      </c>
      <c r="Y114" s="121" t="s">
        <v>246</v>
      </c>
      <c r="Z114" s="121" t="str">
        <f t="shared" si="6"/>
        <v>KM</v>
      </c>
      <c r="AA114" s="75" t="s">
        <v>292</v>
      </c>
      <c r="AB114" s="75" t="s">
        <v>265</v>
      </c>
      <c r="AC114" s="76" t="str">
        <f t="shared" si="7"/>
        <v>KM$1321</v>
      </c>
      <c r="AD114" s="69" t="str">
        <f t="shared" si="8"/>
        <v>=Consolidated!KM$1321</v>
      </c>
      <c r="AE114" s="122" t="s">
        <v>369</v>
      </c>
      <c r="AI114" s="67" t="s">
        <v>427</v>
      </c>
      <c r="AJ114" s="67" t="s">
        <v>428</v>
      </c>
      <c r="AK114" s="67" t="s">
        <v>429</v>
      </c>
      <c r="AL114" s="67" t="s">
        <v>430</v>
      </c>
      <c r="AM114" s="67" t="s">
        <v>431</v>
      </c>
      <c r="AN114" s="67" t="s">
        <v>432</v>
      </c>
    </row>
    <row r="115" spans="1:41" outlineLevel="1">
      <c r="A115" s="81">
        <v>2</v>
      </c>
      <c r="B115" s="61"/>
      <c r="C115" s="606" t="s">
        <v>573</v>
      </c>
      <c r="D115" s="607">
        <f>'CIIP 2016 Revised Format'!BE$24</f>
        <v>0</v>
      </c>
      <c r="E115" s="659" t="e">
        <f>'CIIP 2016 Revised Format'!#REF!</f>
        <v>#REF!</v>
      </c>
      <c r="F115" s="659" t="e">
        <f>'CIIP 2016 Revised Format'!#REF!</f>
        <v>#REF!</v>
      </c>
      <c r="G115" s="659" t="e">
        <f>'CIIP 2016 Revised Format'!#REF!</f>
        <v>#REF!</v>
      </c>
      <c r="H115" s="659" t="e">
        <f>'CIIP 2016 Revised Format'!#REF!</f>
        <v>#REF!</v>
      </c>
      <c r="I115" s="659" t="e">
        <f>'CIIP 2016 Revised Format'!#REF!</f>
        <v>#REF!</v>
      </c>
      <c r="J115" s="659" t="e">
        <f>'CIIP 2016 Revised Format'!#REF!</f>
        <v>#REF!</v>
      </c>
      <c r="K115" s="659" t="e">
        <f>'CIIP 2016 Revised Format'!#REF!</f>
        <v>#REF!</v>
      </c>
      <c r="L115" s="659" t="s">
        <v>571</v>
      </c>
      <c r="M115" s="608" t="s">
        <v>571</v>
      </c>
      <c r="N115" s="115"/>
      <c r="O115" s="116"/>
      <c r="T115" s="67" t="s">
        <v>266</v>
      </c>
      <c r="U115" s="67" t="s">
        <v>205</v>
      </c>
      <c r="V115" s="67" t="str">
        <f>CONCATENATE(T115," ", U115)</f>
        <v>Region II</v>
      </c>
      <c r="X115" s="121" t="s">
        <v>244</v>
      </c>
      <c r="Y115" s="121" t="s">
        <v>245</v>
      </c>
      <c r="Z115" s="121" t="str">
        <f>CONCATENATE(X115,Y115)</f>
        <v>KL</v>
      </c>
      <c r="AA115" s="75" t="s">
        <v>292</v>
      </c>
      <c r="AB115" s="75" t="s">
        <v>265</v>
      </c>
      <c r="AC115" s="76" t="str">
        <f>CONCATENATE(Z115,AA115)</f>
        <v>KL$1321</v>
      </c>
      <c r="AD115" s="69" t="str">
        <f>CONCATENATE(AB115,AC115)</f>
        <v>=Consolidated!KL$1321</v>
      </c>
      <c r="AE115" s="122" t="s">
        <v>368</v>
      </c>
      <c r="AG115" s="67">
        <v>6</v>
      </c>
      <c r="AI115" s="67" t="s">
        <v>420</v>
      </c>
      <c r="AJ115" s="67" t="s">
        <v>421</v>
      </c>
      <c r="AK115" s="67" t="s">
        <v>422</v>
      </c>
      <c r="AL115" s="67" t="s">
        <v>423</v>
      </c>
      <c r="AM115" s="67" t="s">
        <v>424</v>
      </c>
      <c r="AN115" s="67" t="s">
        <v>425</v>
      </c>
    </row>
    <row r="116" spans="1:41" outlineLevel="1">
      <c r="A116" s="81">
        <v>3</v>
      </c>
      <c r="B116" s="61"/>
      <c r="C116" s="257" t="s">
        <v>409</v>
      </c>
      <c r="D116" s="258">
        <f>'CIIP 2016 Revised Format'!BG$24</f>
        <v>10</v>
      </c>
      <c r="E116" s="267" t="e">
        <f>'CIIP 2016 Revised Format'!#REF!</f>
        <v>#REF!</v>
      </c>
      <c r="F116" s="267" t="e">
        <f>'CIIP 2016 Revised Format'!#REF!</f>
        <v>#REF!</v>
      </c>
      <c r="G116" s="267" t="e">
        <f>'CIIP 2016 Revised Format'!#REF!</f>
        <v>#REF!</v>
      </c>
      <c r="H116" s="267" t="e">
        <f>'CIIP 2016 Revised Format'!#REF!</f>
        <v>#REF!</v>
      </c>
      <c r="I116" s="267" t="e">
        <f>'CIIP 2016 Revised Format'!#REF!</f>
        <v>#REF!</v>
      </c>
      <c r="J116" s="267" t="e">
        <f>'CIIP 2016 Revised Format'!#REF!</f>
        <v>#REF!</v>
      </c>
      <c r="K116" s="267" t="e">
        <f>'CIIP 2016 Revised Format'!#REF!</f>
        <v>#REF!</v>
      </c>
      <c r="L116" s="267" t="s">
        <v>571</v>
      </c>
      <c r="M116" s="263" t="s">
        <v>571</v>
      </c>
      <c r="N116" s="115"/>
      <c r="O116" s="116"/>
      <c r="T116" s="67" t="s">
        <v>266</v>
      </c>
      <c r="U116" s="67" t="s">
        <v>207</v>
      </c>
      <c r="V116" s="67" t="str">
        <f t="shared" si="9"/>
        <v>Region IV-A</v>
      </c>
      <c r="X116" s="121" t="s">
        <v>244</v>
      </c>
      <c r="Y116" s="121" t="s">
        <v>247</v>
      </c>
      <c r="Z116" s="121" t="str">
        <f t="shared" si="6"/>
        <v>KN</v>
      </c>
      <c r="AA116" s="75" t="s">
        <v>292</v>
      </c>
      <c r="AB116" s="75" t="s">
        <v>265</v>
      </c>
      <c r="AC116" s="76" t="str">
        <f t="shared" si="7"/>
        <v>KN$1321</v>
      </c>
      <c r="AD116" s="69" t="str">
        <f t="shared" si="8"/>
        <v>=Consolidated!KN$1321</v>
      </c>
      <c r="AE116" s="122" t="s">
        <v>370</v>
      </c>
      <c r="AG116" s="67">
        <v>1</v>
      </c>
    </row>
    <row r="117" spans="1:41" outlineLevel="1">
      <c r="A117" s="81">
        <v>4</v>
      </c>
      <c r="B117" s="61"/>
      <c r="C117" s="219" t="s">
        <v>98</v>
      </c>
      <c r="D117" s="155">
        <f>'CIIP 2016 Revised Format'!BI$24</f>
        <v>0</v>
      </c>
      <c r="E117" s="268" t="e">
        <f>'CIIP 2016 Revised Format'!#REF!</f>
        <v>#REF!</v>
      </c>
      <c r="F117" s="268" t="e">
        <f>'CIIP 2016 Revised Format'!#REF!</f>
        <v>#REF!</v>
      </c>
      <c r="G117" s="268" t="e">
        <f>'CIIP 2016 Revised Format'!#REF!</f>
        <v>#REF!</v>
      </c>
      <c r="H117" s="268" t="e">
        <f>'CIIP 2016 Revised Format'!#REF!</f>
        <v>#REF!</v>
      </c>
      <c r="I117" s="268" t="e">
        <f>'CIIP 2016 Revised Format'!#REF!</f>
        <v>#REF!</v>
      </c>
      <c r="J117" s="268" t="e">
        <f>'CIIP 2016 Revised Format'!#REF!</f>
        <v>#REF!</v>
      </c>
      <c r="K117" s="268" t="e">
        <f>'CIIP 2016 Revised Format'!#REF!</f>
        <v>#REF!</v>
      </c>
      <c r="L117" s="268">
        <v>4748372</v>
      </c>
      <c r="M117" s="264" t="e">
        <f t="shared" ref="M117:M135" si="10">(K117/L117)*1000</f>
        <v>#REF!</v>
      </c>
      <c r="N117" s="115"/>
      <c r="O117" s="116"/>
      <c r="T117" s="67" t="s">
        <v>266</v>
      </c>
      <c r="U117" s="68" t="s">
        <v>208</v>
      </c>
      <c r="V117" s="67" t="str">
        <f t="shared" si="9"/>
        <v>Region IV-B</v>
      </c>
      <c r="X117" s="121" t="s">
        <v>244</v>
      </c>
      <c r="Y117" s="121" t="s">
        <v>248</v>
      </c>
      <c r="Z117" s="121" t="str">
        <f t="shared" si="6"/>
        <v>KO</v>
      </c>
      <c r="AA117" s="75" t="s">
        <v>292</v>
      </c>
      <c r="AB117" s="75" t="s">
        <v>265</v>
      </c>
      <c r="AC117" s="76" t="str">
        <f t="shared" si="7"/>
        <v>KO$1321</v>
      </c>
      <c r="AD117" s="69" t="str">
        <f t="shared" si="8"/>
        <v>=Consolidated!KO$1321</v>
      </c>
      <c r="AE117" s="122" t="s">
        <v>371</v>
      </c>
      <c r="AG117" s="67">
        <v>2</v>
      </c>
    </row>
    <row r="118" spans="1:41" outlineLevel="1">
      <c r="A118" s="81">
        <v>5</v>
      </c>
      <c r="B118" s="61"/>
      <c r="C118" s="219" t="s">
        <v>92</v>
      </c>
      <c r="D118" s="155">
        <f>'CIIP 2016 Revised Format'!BJ$24</f>
        <v>0</v>
      </c>
      <c r="E118" s="268" t="e">
        <f>'CIIP 2016 Revised Format'!#REF!</f>
        <v>#REF!</v>
      </c>
      <c r="F118" s="268" t="e">
        <f>'CIIP 2016 Revised Format'!#REF!</f>
        <v>#REF!</v>
      </c>
      <c r="G118" s="268" t="e">
        <f>'CIIP 2016 Revised Format'!#REF!</f>
        <v>#REF!</v>
      </c>
      <c r="H118" s="268" t="e">
        <f>'CIIP 2016 Revised Format'!#REF!</f>
        <v>#REF!</v>
      </c>
      <c r="I118" s="268" t="e">
        <f>'CIIP 2016 Revised Format'!#REF!</f>
        <v>#REF!</v>
      </c>
      <c r="J118" s="268" t="e">
        <f>'CIIP 2016 Revised Format'!#REF!</f>
        <v>#REF!</v>
      </c>
      <c r="K118" s="268" t="e">
        <f>'CIIP 2016 Revised Format'!#REF!</f>
        <v>#REF!</v>
      </c>
      <c r="L118" s="268">
        <v>3229163</v>
      </c>
      <c r="M118" s="264" t="e">
        <f t="shared" si="10"/>
        <v>#REF!</v>
      </c>
      <c r="N118" s="115"/>
      <c r="O118" s="116"/>
      <c r="T118" s="67" t="s">
        <v>266</v>
      </c>
      <c r="U118" s="67" t="s">
        <v>209</v>
      </c>
      <c r="V118" s="67" t="str">
        <f t="shared" si="9"/>
        <v>Region V</v>
      </c>
      <c r="X118" s="121" t="s">
        <v>244</v>
      </c>
      <c r="Y118" s="121" t="s">
        <v>249</v>
      </c>
      <c r="Z118" s="121" t="str">
        <f t="shared" si="6"/>
        <v>KP</v>
      </c>
      <c r="AA118" s="75" t="s">
        <v>292</v>
      </c>
      <c r="AB118" s="75" t="s">
        <v>265</v>
      </c>
      <c r="AC118" s="76" t="str">
        <f t="shared" si="7"/>
        <v>KP$1321</v>
      </c>
      <c r="AD118" s="69" t="str">
        <f t="shared" si="8"/>
        <v>=Consolidated!KP$1321</v>
      </c>
      <c r="AE118" s="122" t="s">
        <v>372</v>
      </c>
      <c r="AG118" s="67">
        <v>3</v>
      </c>
    </row>
    <row r="119" spans="1:41" outlineLevel="1">
      <c r="A119" s="81">
        <v>6</v>
      </c>
      <c r="B119" s="61"/>
      <c r="C119" s="219" t="s">
        <v>97</v>
      </c>
      <c r="D119" s="155">
        <f>'CIIP 2016 Revised Format'!BK$24</f>
        <v>0</v>
      </c>
      <c r="E119" s="268" t="e">
        <f>'CIIP 2016 Revised Format'!#REF!</f>
        <v>#REF!</v>
      </c>
      <c r="F119" s="268" t="e">
        <f>'CIIP 2016 Revised Format'!#REF!</f>
        <v>#REF!</v>
      </c>
      <c r="G119" s="268" t="e">
        <f>'CIIP 2016 Revised Format'!#REF!</f>
        <v>#REF!</v>
      </c>
      <c r="H119" s="268" t="e">
        <f>'CIIP 2016 Revised Format'!#REF!</f>
        <v>#REF!</v>
      </c>
      <c r="I119" s="268" t="e">
        <f>'CIIP 2016 Revised Format'!#REF!</f>
        <v>#REF!</v>
      </c>
      <c r="J119" s="268" t="e">
        <f>'CIIP 2016 Revised Format'!#REF!</f>
        <v>#REF!</v>
      </c>
      <c r="K119" s="268" t="e">
        <f>'CIIP 2016 Revised Format'!#REF!</f>
        <v>#REF!</v>
      </c>
      <c r="L119" s="268">
        <v>10137737</v>
      </c>
      <c r="M119" s="264" t="e">
        <f t="shared" si="10"/>
        <v>#REF!</v>
      </c>
      <c r="N119" s="115"/>
      <c r="O119" s="116"/>
      <c r="T119" s="67" t="s">
        <v>266</v>
      </c>
      <c r="U119" s="67" t="s">
        <v>210</v>
      </c>
      <c r="V119" s="67" t="str">
        <f t="shared" si="9"/>
        <v>Region VI</v>
      </c>
      <c r="X119" s="121" t="s">
        <v>244</v>
      </c>
      <c r="Y119" s="121" t="s">
        <v>250</v>
      </c>
      <c r="Z119" s="121" t="str">
        <f t="shared" si="6"/>
        <v>KQ</v>
      </c>
      <c r="AA119" s="75" t="s">
        <v>292</v>
      </c>
      <c r="AB119" s="75" t="s">
        <v>265</v>
      </c>
      <c r="AC119" s="76" t="str">
        <f t="shared" si="7"/>
        <v>KQ$1321</v>
      </c>
      <c r="AD119" s="69" t="str">
        <f t="shared" si="8"/>
        <v>=Consolidated!KQ$1321</v>
      </c>
      <c r="AE119" s="122" t="s">
        <v>373</v>
      </c>
      <c r="AG119" s="67">
        <v>4</v>
      </c>
    </row>
    <row r="120" spans="1:41" outlineLevel="1">
      <c r="A120" s="81">
        <v>7</v>
      </c>
      <c r="B120" s="61"/>
      <c r="C120" s="219" t="s">
        <v>112</v>
      </c>
      <c r="D120" s="155">
        <f>'CIIP 2016 Revised Format'!BL$24</f>
        <v>0</v>
      </c>
      <c r="E120" s="268" t="e">
        <f>'CIIP 2016 Revised Format'!#REF!</f>
        <v>#REF!</v>
      </c>
      <c r="F120" s="268" t="e">
        <f>'CIIP 2016 Revised Format'!#REF!</f>
        <v>#REF!</v>
      </c>
      <c r="G120" s="268" t="e">
        <f>'CIIP 2016 Revised Format'!#REF!</f>
        <v>#REF!</v>
      </c>
      <c r="H120" s="268" t="e">
        <f>'CIIP 2016 Revised Format'!#REF!</f>
        <v>#REF!</v>
      </c>
      <c r="I120" s="268" t="e">
        <f>'CIIP 2016 Revised Format'!#REF!</f>
        <v>#REF!</v>
      </c>
      <c r="J120" s="268" t="e">
        <f>'CIIP 2016 Revised Format'!#REF!</f>
        <v>#REF!</v>
      </c>
      <c r="K120" s="268" t="e">
        <f>'CIIP 2016 Revised Format'!#REF!</f>
        <v>#REF!</v>
      </c>
      <c r="L120" s="268">
        <v>12609803</v>
      </c>
      <c r="M120" s="264" t="e">
        <f t="shared" si="10"/>
        <v>#REF!</v>
      </c>
      <c r="N120" s="115"/>
      <c r="O120" s="116"/>
      <c r="T120" s="67" t="s">
        <v>266</v>
      </c>
      <c r="U120" s="67" t="s">
        <v>211</v>
      </c>
      <c r="V120" s="67" t="str">
        <f t="shared" si="9"/>
        <v>Region VII</v>
      </c>
      <c r="X120" s="121" t="s">
        <v>244</v>
      </c>
      <c r="Y120" s="121" t="s">
        <v>251</v>
      </c>
      <c r="Z120" s="121" t="str">
        <f t="shared" si="6"/>
        <v>KR</v>
      </c>
      <c r="AA120" s="75" t="s">
        <v>292</v>
      </c>
      <c r="AB120" s="75" t="s">
        <v>265</v>
      </c>
      <c r="AC120" s="76" t="str">
        <f t="shared" si="7"/>
        <v>KR$1321</v>
      </c>
      <c r="AD120" s="69" t="str">
        <f t="shared" si="8"/>
        <v>=Consolidated!KR$1321</v>
      </c>
      <c r="AE120" s="122" t="s">
        <v>374</v>
      </c>
      <c r="AG120" s="67">
        <v>5</v>
      </c>
    </row>
    <row r="121" spans="1:41" outlineLevel="1">
      <c r="A121" s="81">
        <v>8</v>
      </c>
      <c r="B121" s="61"/>
      <c r="C121" s="219" t="s">
        <v>93</v>
      </c>
      <c r="D121" s="155">
        <f>'CIIP 2016 Revised Format'!BM$24</f>
        <v>0</v>
      </c>
      <c r="E121" s="268" t="e">
        <f>'CIIP 2016 Revised Format'!#REF!</f>
        <v>#REF!</v>
      </c>
      <c r="F121" s="268" t="e">
        <f>'CIIP 2016 Revised Format'!#REF!</f>
        <v>#REF!</v>
      </c>
      <c r="G121" s="268" t="e">
        <f>'CIIP 2016 Revised Format'!#REF!</f>
        <v>#REF!</v>
      </c>
      <c r="H121" s="268" t="e">
        <f>'CIIP 2016 Revised Format'!#REF!</f>
        <v>#REF!</v>
      </c>
      <c r="I121" s="268" t="e">
        <f>'CIIP 2016 Revised Format'!#REF!</f>
        <v>#REF!</v>
      </c>
      <c r="J121" s="268" t="e">
        <f>'CIIP 2016 Revised Format'!#REF!</f>
        <v>#REF!</v>
      </c>
      <c r="K121" s="268" t="e">
        <f>'CIIP 2016 Revised Format'!#REF!</f>
        <v>#REF!</v>
      </c>
      <c r="L121" s="268">
        <v>2744671</v>
      </c>
      <c r="M121" s="264" t="e">
        <f t="shared" si="10"/>
        <v>#REF!</v>
      </c>
      <c r="N121" s="115"/>
      <c r="O121" s="116"/>
      <c r="T121" s="67" t="s">
        <v>266</v>
      </c>
      <c r="U121" s="67" t="s">
        <v>212</v>
      </c>
      <c r="V121" s="67" t="str">
        <f t="shared" si="9"/>
        <v>Region VIII</v>
      </c>
      <c r="X121" s="121" t="s">
        <v>244</v>
      </c>
      <c r="Y121" s="121" t="s">
        <v>252</v>
      </c>
      <c r="Z121" s="121" t="str">
        <f t="shared" si="6"/>
        <v>KS</v>
      </c>
      <c r="AA121" s="75" t="s">
        <v>292</v>
      </c>
      <c r="AB121" s="75" t="s">
        <v>265</v>
      </c>
      <c r="AC121" s="76" t="str">
        <f t="shared" si="7"/>
        <v>KS$1321</v>
      </c>
      <c r="AD121" s="69" t="str">
        <f t="shared" si="8"/>
        <v>=Consolidated!KS$1321</v>
      </c>
      <c r="AE121" s="122" t="s">
        <v>375</v>
      </c>
      <c r="AG121" s="67">
        <v>6</v>
      </c>
    </row>
    <row r="122" spans="1:41" outlineLevel="1">
      <c r="A122" s="81">
        <v>9</v>
      </c>
      <c r="B122" s="61"/>
      <c r="C122" s="219" t="s">
        <v>95</v>
      </c>
      <c r="D122" s="155">
        <f>'CIIP 2016 Revised Format'!BN$24</f>
        <v>0</v>
      </c>
      <c r="E122" s="268" t="e">
        <f>'CIIP 2016 Revised Format'!#REF!</f>
        <v>#REF!</v>
      </c>
      <c r="F122" s="268" t="e">
        <f>'CIIP 2016 Revised Format'!#REF!</f>
        <v>#REF!</v>
      </c>
      <c r="G122" s="268" t="e">
        <f>'CIIP 2016 Revised Format'!#REF!</f>
        <v>#REF!</v>
      </c>
      <c r="H122" s="268" t="e">
        <f>'CIIP 2016 Revised Format'!#REF!</f>
        <v>#REF!</v>
      </c>
      <c r="I122" s="268" t="e">
        <f>'CIIP 2016 Revised Format'!#REF!</f>
        <v>#REF!</v>
      </c>
      <c r="J122" s="268" t="e">
        <f>'CIIP 2016 Revised Format'!#REF!</f>
        <v>#REF!</v>
      </c>
      <c r="K122" s="268" t="e">
        <f>'CIIP 2016 Revised Format'!#REF!</f>
        <v>#REF!</v>
      </c>
      <c r="L122" s="268">
        <v>5420411</v>
      </c>
      <c r="M122" s="264" t="e">
        <f t="shared" si="10"/>
        <v>#REF!</v>
      </c>
      <c r="N122" s="115"/>
      <c r="O122" s="116"/>
      <c r="T122" s="67" t="s">
        <v>266</v>
      </c>
      <c r="U122" s="67" t="s">
        <v>213</v>
      </c>
      <c r="V122" s="67" t="str">
        <f t="shared" si="9"/>
        <v>Region IX</v>
      </c>
      <c r="X122" s="121" t="s">
        <v>244</v>
      </c>
      <c r="Y122" s="121" t="s">
        <v>253</v>
      </c>
      <c r="Z122" s="121" t="str">
        <f t="shared" si="6"/>
        <v>KT</v>
      </c>
      <c r="AA122" s="75" t="s">
        <v>292</v>
      </c>
      <c r="AB122" s="75" t="s">
        <v>265</v>
      </c>
      <c r="AC122" s="76" t="str">
        <f t="shared" ref="AC122:AC128" si="11">CONCATENATE(Z122,AA122)</f>
        <v>KT$1321</v>
      </c>
      <c r="AD122" s="69" t="str">
        <f t="shared" ref="AD122:AD128" si="12">CONCATENATE(AB122,AC122)</f>
        <v>=Consolidated!KT$1321</v>
      </c>
      <c r="AE122" s="69" t="s">
        <v>376</v>
      </c>
    </row>
    <row r="123" spans="1:41" outlineLevel="1">
      <c r="A123" s="81">
        <v>10</v>
      </c>
      <c r="B123" s="61"/>
      <c r="C123" s="219" t="s">
        <v>859</v>
      </c>
      <c r="D123" s="155">
        <f>'CIIP 2016 Revised Format'!BO$24</f>
        <v>0</v>
      </c>
      <c r="E123" s="268" t="e">
        <f>'CIIP 2016 Revised Format'!#REF!</f>
        <v>#REF!</v>
      </c>
      <c r="F123" s="268" t="e">
        <f>'CIIP 2016 Revised Format'!#REF!</f>
        <v>#REF!</v>
      </c>
      <c r="G123" s="268" t="e">
        <f>'CIIP 2016 Revised Format'!#REF!</f>
        <v>#REF!</v>
      </c>
      <c r="H123" s="268" t="e">
        <f>'CIIP 2016 Revised Format'!#REF!</f>
        <v>#REF!</v>
      </c>
      <c r="I123" s="268" t="e">
        <f>'CIIP 2016 Revised Format'!#REF!</f>
        <v>#REF!</v>
      </c>
      <c r="J123" s="268" t="e">
        <f>'CIIP 2016 Revised Format'!#REF!</f>
        <v>#REF!</v>
      </c>
      <c r="K123" s="268" t="e">
        <f>'CIIP 2016 Revised Format'!#REF!</f>
        <v>#REF!</v>
      </c>
      <c r="L123" s="268">
        <v>7102438</v>
      </c>
      <c r="M123" s="264" t="e">
        <f t="shared" si="10"/>
        <v>#REF!</v>
      </c>
      <c r="N123" s="115">
        <v>26</v>
      </c>
      <c r="O123" s="116"/>
      <c r="T123" s="67" t="s">
        <v>266</v>
      </c>
      <c r="U123" s="67" t="s">
        <v>214</v>
      </c>
      <c r="V123" s="67" t="str">
        <f t="shared" si="9"/>
        <v>Region X</v>
      </c>
      <c r="X123" s="121" t="s">
        <v>244</v>
      </c>
      <c r="Y123" s="121" t="s">
        <v>254</v>
      </c>
      <c r="Z123" s="121" t="str">
        <f t="shared" si="6"/>
        <v>KU</v>
      </c>
      <c r="AA123" s="75" t="s">
        <v>292</v>
      </c>
      <c r="AB123" s="75" t="s">
        <v>265</v>
      </c>
      <c r="AC123" s="76" t="str">
        <f t="shared" si="11"/>
        <v>KU$1321</v>
      </c>
      <c r="AD123" s="69" t="str">
        <f t="shared" si="12"/>
        <v>=Consolidated!KU$1321</v>
      </c>
      <c r="AE123" s="122" t="s">
        <v>377</v>
      </c>
      <c r="AG123" s="67">
        <v>1</v>
      </c>
    </row>
    <row r="124" spans="1:41" outlineLevel="1">
      <c r="A124" s="81">
        <v>11</v>
      </c>
      <c r="B124" s="61"/>
      <c r="C124" s="219" t="s">
        <v>860</v>
      </c>
      <c r="D124" s="155">
        <f>'CIIP 2016 Revised Format'!BP$24</f>
        <v>0</v>
      </c>
      <c r="E124" s="268" t="e">
        <f>'CIIP 2016 Revised Format'!#REF!</f>
        <v>#REF!</v>
      </c>
      <c r="F124" s="268" t="e">
        <f>'CIIP 2016 Revised Format'!#REF!</f>
        <v>#REF!</v>
      </c>
      <c r="G124" s="268" t="e">
        <f>'CIIP 2016 Revised Format'!#REF!</f>
        <v>#REF!</v>
      </c>
      <c r="H124" s="268" t="e">
        <f>'CIIP 2016 Revised Format'!#REF!</f>
        <v>#REF!</v>
      </c>
      <c r="I124" s="268" t="e">
        <f>'CIIP 2016 Revised Format'!#REF!</f>
        <v>#REF!</v>
      </c>
      <c r="J124" s="268" t="e">
        <f>'CIIP 2016 Revised Format'!#REF!</f>
        <v>#REF!</v>
      </c>
      <c r="K124" s="268" t="e">
        <f>'CIIP 2016 Revised Format'!#REF!</f>
        <v>#REF!</v>
      </c>
      <c r="L124" s="268">
        <v>6800180</v>
      </c>
      <c r="M124" s="264" t="e">
        <f t="shared" si="10"/>
        <v>#REF!</v>
      </c>
      <c r="N124" s="115">
        <v>130</v>
      </c>
      <c r="O124" s="116"/>
      <c r="T124" s="67" t="s">
        <v>266</v>
      </c>
      <c r="U124" s="67" t="s">
        <v>215</v>
      </c>
      <c r="V124" s="67" t="str">
        <f t="shared" si="9"/>
        <v>Region XI</v>
      </c>
      <c r="X124" s="121" t="s">
        <v>244</v>
      </c>
      <c r="Y124" s="121" t="s">
        <v>209</v>
      </c>
      <c r="Z124" s="121" t="str">
        <f t="shared" si="6"/>
        <v>KV</v>
      </c>
      <c r="AA124" s="75" t="s">
        <v>292</v>
      </c>
      <c r="AB124" s="75" t="s">
        <v>265</v>
      </c>
      <c r="AC124" s="76" t="str">
        <f t="shared" si="11"/>
        <v>KV$1321</v>
      </c>
      <c r="AD124" s="69" t="str">
        <f t="shared" si="12"/>
        <v>=Consolidated!KV$1321</v>
      </c>
      <c r="AE124" s="122" t="s">
        <v>378</v>
      </c>
      <c r="AG124" s="67">
        <v>2</v>
      </c>
    </row>
    <row r="125" spans="1:41" outlineLevel="1">
      <c r="A125" s="81">
        <v>12</v>
      </c>
      <c r="B125" s="61"/>
      <c r="C125" s="219" t="s">
        <v>87</v>
      </c>
      <c r="D125" s="155">
        <f>'CIIP 2016 Revised Format'!BQ$24</f>
        <v>0</v>
      </c>
      <c r="E125" s="268" t="e">
        <f>'CIIP 2016 Revised Format'!#REF!</f>
        <v>#REF!</v>
      </c>
      <c r="F125" s="268" t="e">
        <f>'CIIP 2016 Revised Format'!#REF!</f>
        <v>#REF!</v>
      </c>
      <c r="G125" s="268" t="e">
        <f>'CIIP 2016 Revised Format'!#REF!</f>
        <v>#REF!</v>
      </c>
      <c r="H125" s="268" t="e">
        <f>'CIIP 2016 Revised Format'!#REF!</f>
        <v>#REF!</v>
      </c>
      <c r="I125" s="268" t="e">
        <f>'CIIP 2016 Revised Format'!#REF!</f>
        <v>#REF!</v>
      </c>
      <c r="J125" s="268" t="e">
        <f>'CIIP 2016 Revised Format'!#REF!</f>
        <v>#REF!</v>
      </c>
      <c r="K125" s="268" t="e">
        <f>'CIIP 2016 Revised Format'!#REF!</f>
        <v>#REF!</v>
      </c>
      <c r="L125" s="268">
        <v>4101322</v>
      </c>
      <c r="M125" s="264" t="e">
        <f t="shared" si="10"/>
        <v>#REF!</v>
      </c>
      <c r="N125" s="115">
        <v>137</v>
      </c>
      <c r="O125" s="116"/>
      <c r="T125" s="67" t="s">
        <v>266</v>
      </c>
      <c r="U125" s="67" t="s">
        <v>216</v>
      </c>
      <c r="V125" s="67" t="str">
        <f t="shared" si="9"/>
        <v>Region XII</v>
      </c>
      <c r="X125" s="121" t="s">
        <v>244</v>
      </c>
      <c r="Y125" s="121" t="s">
        <v>291</v>
      </c>
      <c r="Z125" s="121" t="str">
        <f t="shared" si="6"/>
        <v>KW</v>
      </c>
      <c r="AA125" s="75" t="s">
        <v>292</v>
      </c>
      <c r="AB125" s="75" t="s">
        <v>265</v>
      </c>
      <c r="AC125" s="76" t="str">
        <f t="shared" si="11"/>
        <v>KW$1321</v>
      </c>
      <c r="AD125" s="69" t="str">
        <f t="shared" si="12"/>
        <v>=Consolidated!KW$1321</v>
      </c>
      <c r="AE125" s="122" t="s">
        <v>379</v>
      </c>
      <c r="AG125" s="67">
        <v>3</v>
      </c>
    </row>
    <row r="126" spans="1:41" outlineLevel="1">
      <c r="A126" s="81">
        <v>13</v>
      </c>
      <c r="B126" s="61"/>
      <c r="C126" s="219" t="s">
        <v>89</v>
      </c>
      <c r="D126" s="155">
        <f>'CIIP 2016 Revised Format'!BR$24</f>
        <v>0</v>
      </c>
      <c r="E126" s="268" t="e">
        <f>'CIIP 2016 Revised Format'!#REF!</f>
        <v>#REF!</v>
      </c>
      <c r="F126" s="268" t="e">
        <f>'CIIP 2016 Revised Format'!#REF!</f>
        <v>#REF!</v>
      </c>
      <c r="G126" s="268" t="e">
        <f>'CIIP 2016 Revised Format'!#REF!</f>
        <v>#REF!</v>
      </c>
      <c r="H126" s="268" t="e">
        <f>'CIIP 2016 Revised Format'!#REF!</f>
        <v>#REF!</v>
      </c>
      <c r="I126" s="268" t="e">
        <f>'CIIP 2016 Revised Format'!#REF!</f>
        <v>#REF!</v>
      </c>
      <c r="J126" s="268" t="e">
        <f>'CIIP 2016 Revised Format'!#REF!</f>
        <v>#REF!</v>
      </c>
      <c r="K126" s="268" t="e">
        <f>'CIIP 2016 Revised Format'!#REF!</f>
        <v>#REF!</v>
      </c>
      <c r="L126" s="268">
        <v>3407353</v>
      </c>
      <c r="M126" s="264" t="e">
        <f t="shared" si="10"/>
        <v>#REF!</v>
      </c>
      <c r="N126" s="115">
        <v>376</v>
      </c>
      <c r="O126" s="116"/>
      <c r="V126" s="67" t="s">
        <v>70</v>
      </c>
      <c r="X126" s="121" t="s">
        <v>244</v>
      </c>
      <c r="Y126" s="121" t="s">
        <v>214</v>
      </c>
      <c r="Z126" s="121" t="str">
        <f t="shared" si="6"/>
        <v>KX</v>
      </c>
      <c r="AA126" s="75" t="s">
        <v>292</v>
      </c>
      <c r="AB126" s="75" t="s">
        <v>265</v>
      </c>
      <c r="AC126" s="76" t="str">
        <f t="shared" si="11"/>
        <v>KX$1321</v>
      </c>
      <c r="AD126" s="69" t="str">
        <f t="shared" si="12"/>
        <v>=Consolidated!KX$1321</v>
      </c>
      <c r="AE126" s="122" t="s">
        <v>380</v>
      </c>
      <c r="AG126" s="67">
        <v>4</v>
      </c>
    </row>
    <row r="127" spans="1:41" outlineLevel="1">
      <c r="A127" s="81">
        <v>14</v>
      </c>
      <c r="B127" s="61"/>
      <c r="C127" s="219" t="s">
        <v>91</v>
      </c>
      <c r="D127" s="155">
        <f>'CIIP 2016 Revised Format'!BS$24</f>
        <v>0</v>
      </c>
      <c r="E127" s="268" t="e">
        <f>'CIIP 2016 Revised Format'!#REF!</f>
        <v>#REF!</v>
      </c>
      <c r="F127" s="268" t="e">
        <f>'CIIP 2016 Revised Format'!#REF!</f>
        <v>#REF!</v>
      </c>
      <c r="G127" s="268" t="e">
        <f>'CIIP 2016 Revised Format'!#REF!</f>
        <v>#REF!</v>
      </c>
      <c r="H127" s="268" t="e">
        <f>'CIIP 2016 Revised Format'!#REF!</f>
        <v>#REF!</v>
      </c>
      <c r="I127" s="268" t="e">
        <f>'CIIP 2016 Revised Format'!#REF!</f>
        <v>#REF!</v>
      </c>
      <c r="J127" s="268" t="e">
        <f>'CIIP 2016 Revised Format'!#REF!</f>
        <v>#REF!</v>
      </c>
      <c r="K127" s="268" t="e">
        <f>'CIIP 2016 Revised Format'!#REF!</f>
        <v>#REF!</v>
      </c>
      <c r="L127" s="268">
        <v>4297323</v>
      </c>
      <c r="M127" s="264" t="e">
        <f t="shared" si="10"/>
        <v>#REF!</v>
      </c>
      <c r="N127" s="115"/>
      <c r="O127" s="116"/>
      <c r="V127" s="67" t="s">
        <v>137</v>
      </c>
      <c r="X127" s="121" t="s">
        <v>244</v>
      </c>
      <c r="Y127" s="121" t="s">
        <v>255</v>
      </c>
      <c r="Z127" s="121" t="str">
        <f t="shared" si="6"/>
        <v>KY</v>
      </c>
      <c r="AA127" s="75" t="s">
        <v>292</v>
      </c>
      <c r="AB127" s="75" t="s">
        <v>265</v>
      </c>
      <c r="AC127" s="76" t="str">
        <f t="shared" si="11"/>
        <v>KY$1321</v>
      </c>
      <c r="AD127" s="69" t="str">
        <f t="shared" si="12"/>
        <v>=Consolidated!KY$1321</v>
      </c>
      <c r="AE127" s="122" t="s">
        <v>381</v>
      </c>
      <c r="AG127" s="67">
        <v>5</v>
      </c>
    </row>
    <row r="128" spans="1:41" outlineLevel="1">
      <c r="A128" s="81">
        <v>15</v>
      </c>
      <c r="B128" s="61"/>
      <c r="C128" s="219" t="s">
        <v>100</v>
      </c>
      <c r="D128" s="155">
        <f>'CIIP 2016 Revised Format'!BT$24</f>
        <v>0</v>
      </c>
      <c r="E128" s="268" t="e">
        <f>'CIIP 2016 Revised Format'!#REF!</f>
        <v>#REF!</v>
      </c>
      <c r="F128" s="268" t="e">
        <f>'CIIP 2016 Revised Format'!#REF!</f>
        <v>#REF!</v>
      </c>
      <c r="G128" s="268" t="e">
        <f>'CIIP 2016 Revised Format'!#REF!</f>
        <v>#REF!</v>
      </c>
      <c r="H128" s="268" t="e">
        <f>'CIIP 2016 Revised Format'!#REF!</f>
        <v>#REF!</v>
      </c>
      <c r="I128" s="268" t="e">
        <f>'CIIP 2016 Revised Format'!#REF!</f>
        <v>#REF!</v>
      </c>
      <c r="J128" s="268" t="e">
        <f>'CIIP 2016 Revised Format'!#REF!</f>
        <v>#REF!</v>
      </c>
      <c r="K128" s="268" t="e">
        <f>'CIIP 2016 Revised Format'!#REF!</f>
        <v>#REF!</v>
      </c>
      <c r="L128" s="268">
        <v>4468563</v>
      </c>
      <c r="M128" s="264" t="e">
        <f t="shared" si="10"/>
        <v>#REF!</v>
      </c>
      <c r="N128" s="115"/>
      <c r="O128" s="116"/>
      <c r="V128" s="67" t="s">
        <v>94</v>
      </c>
      <c r="X128" s="121" t="s">
        <v>244</v>
      </c>
      <c r="Y128" s="121" t="s">
        <v>256</v>
      </c>
      <c r="Z128" s="121" t="str">
        <f t="shared" si="6"/>
        <v>KZ</v>
      </c>
      <c r="AA128" s="75" t="s">
        <v>292</v>
      </c>
      <c r="AB128" s="75" t="s">
        <v>265</v>
      </c>
      <c r="AC128" s="76" t="str">
        <f t="shared" si="11"/>
        <v>KZ$1321</v>
      </c>
      <c r="AD128" s="69" t="str">
        <f t="shared" si="12"/>
        <v>=Consolidated!KZ$1321</v>
      </c>
      <c r="AE128" s="122" t="s">
        <v>382</v>
      </c>
      <c r="AG128" s="67">
        <v>6</v>
      </c>
    </row>
    <row r="129" spans="1:33" outlineLevel="1">
      <c r="A129" s="81">
        <v>16</v>
      </c>
      <c r="B129" s="61"/>
      <c r="C129" s="655" t="s">
        <v>101</v>
      </c>
      <c r="D129" s="656">
        <f>'CIIP 2016 Revised Format'!BU$24</f>
        <v>0</v>
      </c>
      <c r="E129" s="657" t="e">
        <f>'CIIP 2016 Revised Format'!#REF!</f>
        <v>#REF!</v>
      </c>
      <c r="F129" s="657" t="e">
        <f>'CIIP 2016 Revised Format'!#REF!</f>
        <v>#REF!</v>
      </c>
      <c r="G129" s="657" t="e">
        <f>'CIIP 2016 Revised Format'!#REF!</f>
        <v>#REF!</v>
      </c>
      <c r="H129" s="657" t="e">
        <f>'CIIP 2016 Revised Format'!#REF!</f>
        <v>#REF!</v>
      </c>
      <c r="I129" s="657" t="e">
        <f>'CIIP 2016 Revised Format'!#REF!</f>
        <v>#REF!</v>
      </c>
      <c r="J129" s="657" t="e">
        <f>'CIIP 2016 Revised Format'!#REF!</f>
        <v>#REF!</v>
      </c>
      <c r="K129" s="657" t="e">
        <f>'CIIP 2016 Revised Format'!#REF!</f>
        <v>#REF!</v>
      </c>
      <c r="L129" s="657">
        <v>4109571</v>
      </c>
      <c r="M129" s="658" t="e">
        <f t="shared" si="10"/>
        <v>#REF!</v>
      </c>
      <c r="N129" s="115"/>
      <c r="O129" s="116"/>
      <c r="V129" s="67" t="s">
        <v>90</v>
      </c>
      <c r="X129" s="121" t="s">
        <v>245</v>
      </c>
      <c r="Y129" s="121" t="s">
        <v>257</v>
      </c>
      <c r="Z129" s="121" t="str">
        <f t="shared" si="6"/>
        <v>LA</v>
      </c>
      <c r="AA129" s="75" t="s">
        <v>292</v>
      </c>
      <c r="AB129" s="75" t="s">
        <v>265</v>
      </c>
      <c r="AC129" s="76" t="str">
        <f t="shared" ref="AC129:AC135" si="13">CONCATENATE(Z129,AA129)</f>
        <v>LA$1321</v>
      </c>
      <c r="AD129" s="69" t="str">
        <f t="shared" ref="AD129:AD135" si="14">CONCATENATE(AB129,AC129)</f>
        <v>=Consolidated!LA$1321</v>
      </c>
      <c r="AE129" s="69" t="s">
        <v>383</v>
      </c>
    </row>
    <row r="130" spans="1:33" outlineLevel="1">
      <c r="A130" s="81">
        <v>17</v>
      </c>
      <c r="B130" s="61"/>
      <c r="C130" s="219" t="s">
        <v>858</v>
      </c>
      <c r="D130" s="155">
        <f>'CIIP 2016 Revised Format'!BY$24</f>
        <v>0</v>
      </c>
      <c r="E130" s="378" t="e">
        <f>'CIIP 2016 Revised Format'!#REF!</f>
        <v>#REF!</v>
      </c>
      <c r="F130" s="378" t="e">
        <f>'CIIP 2016 Revised Format'!#REF!</f>
        <v>#REF!</v>
      </c>
      <c r="G130" s="378" t="e">
        <f>'CIIP 2016 Revised Format'!#REF!</f>
        <v>#REF!</v>
      </c>
      <c r="H130" s="378" t="e">
        <f>'CIIP 2016 Revised Format'!#REF!</f>
        <v>#REF!</v>
      </c>
      <c r="I130" s="378" t="e">
        <f>'CIIP 2016 Revised Format'!#REF!</f>
        <v>#REF!</v>
      </c>
      <c r="J130" s="378" t="e">
        <f>'CIIP 2016 Revised Format'!#REF!</f>
        <v>#REF!</v>
      </c>
      <c r="K130" s="378" t="e">
        <f>'CIIP 2016 Revised Format'!#REF!</f>
        <v>#REF!</v>
      </c>
      <c r="L130" s="378">
        <v>2429224</v>
      </c>
      <c r="M130" s="264" t="e">
        <f t="shared" si="10"/>
        <v>#REF!</v>
      </c>
      <c r="N130" s="115"/>
      <c r="O130" s="116"/>
      <c r="V130" s="67" t="s">
        <v>14</v>
      </c>
      <c r="X130" s="121" t="s">
        <v>245</v>
      </c>
      <c r="Y130" s="121" t="s">
        <v>258</v>
      </c>
      <c r="Z130" s="121" t="str">
        <f t="shared" si="6"/>
        <v>LB</v>
      </c>
      <c r="AA130" s="75" t="s">
        <v>292</v>
      </c>
      <c r="AB130" s="75" t="s">
        <v>265</v>
      </c>
      <c r="AC130" s="76" t="str">
        <f t="shared" si="13"/>
        <v>LB$1321</v>
      </c>
      <c r="AD130" s="69" t="str">
        <f t="shared" si="14"/>
        <v>=Consolidated!LB$1321</v>
      </c>
      <c r="AE130" s="122" t="s">
        <v>384</v>
      </c>
      <c r="AG130" s="67">
        <v>1</v>
      </c>
    </row>
    <row r="131" spans="1:33" outlineLevel="1">
      <c r="A131" s="81">
        <v>18</v>
      </c>
      <c r="B131" s="61"/>
      <c r="C131" s="219" t="s">
        <v>137</v>
      </c>
      <c r="D131" s="155">
        <f>'CIIP 2016 Revised Format'!BW$24</f>
        <v>0</v>
      </c>
      <c r="E131" s="378" t="e">
        <f>'CIIP 2016 Revised Format'!#REF!</f>
        <v>#REF!</v>
      </c>
      <c r="F131" s="378" t="e">
        <f>'CIIP 2016 Revised Format'!#REF!</f>
        <v>#REF!</v>
      </c>
      <c r="G131" s="378" t="e">
        <f>'CIIP 2016 Revised Format'!#REF!</f>
        <v>#REF!</v>
      </c>
      <c r="H131" s="378" t="e">
        <f>'CIIP 2016 Revised Format'!#REF!</f>
        <v>#REF!</v>
      </c>
      <c r="I131" s="378" t="e">
        <f>'CIIP 2016 Revised Format'!#REF!</f>
        <v>#REF!</v>
      </c>
      <c r="J131" s="378" t="e">
        <f>'CIIP 2016 Revised Format'!#REF!</f>
        <v>#REF!</v>
      </c>
      <c r="K131" s="378" t="e">
        <f>'CIIP 2016 Revised Format'!#REF!</f>
        <v>#REF!</v>
      </c>
      <c r="L131" s="378">
        <v>1616867</v>
      </c>
      <c r="M131" s="264" t="e">
        <f t="shared" si="10"/>
        <v>#REF!</v>
      </c>
      <c r="N131" s="115"/>
      <c r="O131" s="116"/>
      <c r="V131" s="67" t="s">
        <v>15</v>
      </c>
      <c r="X131" s="121" t="s">
        <v>245</v>
      </c>
      <c r="Y131" s="121" t="s">
        <v>259</v>
      </c>
      <c r="Z131" s="121" t="str">
        <f t="shared" si="6"/>
        <v>LC</v>
      </c>
      <c r="AA131" s="75" t="s">
        <v>292</v>
      </c>
      <c r="AB131" s="75" t="s">
        <v>265</v>
      </c>
      <c r="AC131" s="76" t="str">
        <f t="shared" si="13"/>
        <v>LC$1321</v>
      </c>
      <c r="AD131" s="69" t="str">
        <f t="shared" si="14"/>
        <v>=Consolidated!LC$1321</v>
      </c>
      <c r="AE131" s="122" t="s">
        <v>385</v>
      </c>
      <c r="AG131" s="67">
        <v>2</v>
      </c>
    </row>
    <row r="132" spans="1:33" outlineLevel="1">
      <c r="A132" s="81">
        <v>19</v>
      </c>
      <c r="B132" s="61"/>
      <c r="C132" s="219" t="s">
        <v>94</v>
      </c>
      <c r="D132" s="155">
        <f>'CIIP 2016 Revised Format'!BX$24</f>
        <v>0</v>
      </c>
      <c r="E132" s="268" t="e">
        <f>'CIIP 2016 Revised Format'!#REF!</f>
        <v>#REF!</v>
      </c>
      <c r="F132" s="268" t="e">
        <f>'CIIP 2016 Revised Format'!#REF!</f>
        <v>#REF!</v>
      </c>
      <c r="G132" s="268" t="e">
        <f>'CIIP 2016 Revised Format'!#REF!</f>
        <v>#REF!</v>
      </c>
      <c r="H132" s="268" t="e">
        <f>'CIIP 2016 Revised Format'!#REF!</f>
        <v>#REF!</v>
      </c>
      <c r="I132" s="268" t="e">
        <f>'CIIP 2016 Revised Format'!#REF!</f>
        <v>#REF!</v>
      </c>
      <c r="J132" s="268" t="e">
        <f>'CIIP 2016 Revised Format'!#REF!</f>
        <v>#REF!</v>
      </c>
      <c r="K132" s="268" t="e">
        <f>'CIIP 2016 Revised Format'!#REF!</f>
        <v>#REF!</v>
      </c>
      <c r="L132" s="268">
        <v>3256140</v>
      </c>
      <c r="M132" s="264" t="e">
        <f t="shared" si="10"/>
        <v>#REF!</v>
      </c>
      <c r="N132" s="115"/>
      <c r="O132" s="116"/>
      <c r="V132" s="67" t="s">
        <v>17</v>
      </c>
      <c r="X132" s="121" t="s">
        <v>245</v>
      </c>
      <c r="Y132" s="121" t="s">
        <v>260</v>
      </c>
      <c r="Z132" s="121" t="str">
        <f t="shared" si="6"/>
        <v>LD</v>
      </c>
      <c r="AA132" s="75" t="s">
        <v>292</v>
      </c>
      <c r="AB132" s="75" t="s">
        <v>265</v>
      </c>
      <c r="AC132" s="76" t="str">
        <f t="shared" si="13"/>
        <v>LD$1321</v>
      </c>
      <c r="AD132" s="69" t="str">
        <f t="shared" si="14"/>
        <v>=Consolidated!LD$1321</v>
      </c>
      <c r="AE132" s="122" t="s">
        <v>386</v>
      </c>
      <c r="AG132" s="67">
        <v>3</v>
      </c>
    </row>
    <row r="133" spans="1:33" ht="15" outlineLevel="1" thickBot="1">
      <c r="A133" s="81">
        <v>20</v>
      </c>
      <c r="B133" s="61"/>
      <c r="C133" s="222" t="s">
        <v>70</v>
      </c>
      <c r="D133" s="259">
        <f>'CIIP 2016 Revised Format'!BV$24</f>
        <v>0</v>
      </c>
      <c r="E133" s="269" t="e">
        <f>'CIIP 2016 Revised Format'!#REF!</f>
        <v>#REF!</v>
      </c>
      <c r="F133" s="269" t="e">
        <f>'CIIP 2016 Revised Format'!#REF!</f>
        <v>#REF!</v>
      </c>
      <c r="G133" s="269" t="e">
        <f>'CIIP 2016 Revised Format'!#REF!</f>
        <v>#REF!</v>
      </c>
      <c r="H133" s="269" t="e">
        <f>'CIIP 2016 Revised Format'!#REF!</f>
        <v>#REF!</v>
      </c>
      <c r="I133" s="269" t="e">
        <f>'CIIP 2016 Revised Format'!#REF!</f>
        <v>#REF!</v>
      </c>
      <c r="J133" s="269" t="e">
        <f>'CIIP 2016 Revised Format'!#REF!</f>
        <v>#REF!</v>
      </c>
      <c r="K133" s="269" t="e">
        <f>'CIIP 2016 Revised Format'!#REF!</f>
        <v>#REF!</v>
      </c>
      <c r="L133" s="269">
        <v>11855975</v>
      </c>
      <c r="M133" s="464" t="e">
        <f t="shared" si="10"/>
        <v>#REF!</v>
      </c>
      <c r="N133" s="115"/>
      <c r="O133" s="116"/>
      <c r="X133" s="121" t="s">
        <v>245</v>
      </c>
      <c r="Y133" s="121" t="s">
        <v>261</v>
      </c>
      <c r="Z133" s="121" t="str">
        <f t="shared" si="6"/>
        <v>LE</v>
      </c>
      <c r="AA133" s="75" t="s">
        <v>292</v>
      </c>
      <c r="AB133" s="75" t="s">
        <v>265</v>
      </c>
      <c r="AC133" s="76" t="str">
        <f t="shared" si="13"/>
        <v>LE$1321</v>
      </c>
      <c r="AD133" s="69" t="str">
        <f t="shared" si="14"/>
        <v>=Consolidated!LE$1321</v>
      </c>
      <c r="AE133" s="122" t="s">
        <v>387</v>
      </c>
      <c r="AG133" s="67">
        <v>4</v>
      </c>
    </row>
    <row r="134" spans="1:33" ht="15" outlineLevel="1" thickBot="1">
      <c r="A134" s="81"/>
      <c r="B134" s="61"/>
      <c r="C134" s="221"/>
      <c r="D134" s="260"/>
      <c r="E134" s="260"/>
      <c r="F134" s="260"/>
      <c r="G134" s="260"/>
      <c r="H134" s="260"/>
      <c r="I134" s="260"/>
      <c r="J134" s="260"/>
      <c r="K134" s="260"/>
      <c r="L134" s="260"/>
      <c r="M134" s="221"/>
      <c r="N134" s="82"/>
      <c r="X134" s="121" t="s">
        <v>245</v>
      </c>
      <c r="Y134" s="121" t="s">
        <v>262</v>
      </c>
      <c r="Z134" s="121" t="str">
        <f t="shared" si="6"/>
        <v>LF</v>
      </c>
      <c r="AA134" s="75" t="s">
        <v>292</v>
      </c>
      <c r="AB134" s="75" t="s">
        <v>265</v>
      </c>
      <c r="AC134" s="76" t="str">
        <f t="shared" si="13"/>
        <v>LF$1321</v>
      </c>
      <c r="AD134" s="69" t="str">
        <f t="shared" si="14"/>
        <v>=Consolidated!LF$1321</v>
      </c>
      <c r="AE134" s="122" t="s">
        <v>388</v>
      </c>
      <c r="AG134" s="67">
        <v>5</v>
      </c>
    </row>
    <row r="135" spans="1:33" ht="15" outlineLevel="1" thickBot="1">
      <c r="A135" s="83"/>
      <c r="B135" s="84"/>
      <c r="C135" s="261" t="s">
        <v>202</v>
      </c>
      <c r="D135" s="262">
        <f t="shared" ref="D135:K135" si="15">SUM(D114:D133)</f>
        <v>10</v>
      </c>
      <c r="E135" s="265" t="e">
        <f t="shared" si="15"/>
        <v>#REF!</v>
      </c>
      <c r="F135" s="265" t="e">
        <f t="shared" si="15"/>
        <v>#REF!</v>
      </c>
      <c r="G135" s="265" t="e">
        <f t="shared" si="15"/>
        <v>#REF!</v>
      </c>
      <c r="H135" s="265" t="e">
        <f t="shared" si="15"/>
        <v>#REF!</v>
      </c>
      <c r="I135" s="265" t="e">
        <f t="shared" si="15"/>
        <v>#REF!</v>
      </c>
      <c r="J135" s="265" t="e">
        <f t="shared" si="15"/>
        <v>#REF!</v>
      </c>
      <c r="K135" s="265" t="e">
        <f t="shared" si="15"/>
        <v>#REF!</v>
      </c>
      <c r="L135" s="265">
        <v>92335113</v>
      </c>
      <c r="M135" s="266" t="e">
        <f t="shared" si="10"/>
        <v>#REF!</v>
      </c>
      <c r="N135" s="82"/>
      <c r="X135" s="121" t="s">
        <v>245</v>
      </c>
      <c r="Y135" s="121" t="s">
        <v>264</v>
      </c>
      <c r="Z135" s="121" t="str">
        <f t="shared" si="6"/>
        <v>LG</v>
      </c>
      <c r="AA135" s="75" t="s">
        <v>292</v>
      </c>
      <c r="AB135" s="75" t="s">
        <v>265</v>
      </c>
      <c r="AC135" s="76" t="str">
        <f t="shared" si="13"/>
        <v>LG$1321</v>
      </c>
      <c r="AD135" s="69" t="str">
        <f t="shared" si="14"/>
        <v>=Consolidated!LG$1321</v>
      </c>
      <c r="AE135" s="122" t="s">
        <v>389</v>
      </c>
      <c r="AG135" s="67">
        <v>6</v>
      </c>
    </row>
    <row r="136" spans="1:33" outlineLevel="1">
      <c r="A136" s="83"/>
      <c r="B136" s="84"/>
      <c r="C136" s="384"/>
      <c r="D136" s="385"/>
      <c r="E136" s="386"/>
      <c r="F136" s="386"/>
      <c r="G136" s="386"/>
      <c r="H136" s="386"/>
      <c r="I136" s="386"/>
      <c r="J136" s="386"/>
      <c r="K136" s="386"/>
      <c r="L136" s="386"/>
      <c r="M136" s="387"/>
      <c r="N136" s="82"/>
      <c r="X136" s="121"/>
      <c r="Y136" s="121"/>
      <c r="Z136" s="121"/>
      <c r="AA136" s="75"/>
      <c r="AB136" s="75"/>
      <c r="AC136" s="76"/>
      <c r="AD136" s="69"/>
      <c r="AE136" s="122"/>
    </row>
    <row r="137" spans="1:33" outlineLevel="1">
      <c r="A137" s="83"/>
      <c r="B137" s="84"/>
      <c r="C137" s="384"/>
      <c r="D137" s="385"/>
      <c r="E137" s="386"/>
      <c r="F137" s="386"/>
      <c r="G137" s="386"/>
      <c r="H137" s="386"/>
      <c r="I137" s="386"/>
      <c r="J137" s="386"/>
      <c r="K137" s="386"/>
      <c r="L137" s="386"/>
      <c r="M137" s="387"/>
      <c r="N137" s="82"/>
      <c r="X137" s="121"/>
      <c r="Y137" s="121"/>
      <c r="Z137" s="121"/>
      <c r="AA137" s="75"/>
      <c r="AB137" s="75"/>
      <c r="AC137" s="76"/>
      <c r="AD137" s="69"/>
      <c r="AE137" s="122"/>
    </row>
    <row r="138" spans="1:33" outlineLevel="1">
      <c r="A138" s="83"/>
      <c r="B138" s="84"/>
      <c r="C138" s="384"/>
      <c r="D138" s="385"/>
      <c r="E138" s="386"/>
      <c r="F138" s="386"/>
      <c r="G138" s="386"/>
      <c r="H138" s="386"/>
      <c r="I138" s="386"/>
      <c r="J138" s="386"/>
      <c r="K138" s="386"/>
      <c r="L138" s="386"/>
      <c r="M138" s="387"/>
      <c r="N138" s="82"/>
      <c r="X138" s="121"/>
      <c r="Y138" s="121"/>
      <c r="Z138" s="121"/>
      <c r="AA138" s="75"/>
      <c r="AB138" s="75"/>
      <c r="AC138" s="76"/>
      <c r="AD138" s="69"/>
      <c r="AE138" s="122"/>
    </row>
    <row r="139" spans="1:33" outlineLevel="1">
      <c r="A139" s="83"/>
      <c r="B139" s="84"/>
      <c r="C139" s="384"/>
      <c r="D139" s="385"/>
      <c r="E139" s="386"/>
      <c r="F139" s="386"/>
      <c r="G139" s="386"/>
      <c r="H139" s="386"/>
      <c r="I139" s="386"/>
      <c r="J139" s="386"/>
      <c r="K139" s="386"/>
      <c r="L139" s="386"/>
      <c r="M139" s="387"/>
      <c r="N139" s="82"/>
      <c r="X139" s="121"/>
      <c r="Y139" s="121"/>
      <c r="Z139" s="121"/>
      <c r="AA139" s="75"/>
      <c r="AB139" s="75"/>
      <c r="AC139" s="76"/>
      <c r="AD139" s="69"/>
      <c r="AE139" s="122"/>
    </row>
    <row r="140" spans="1:33" outlineLevel="1">
      <c r="A140" s="83"/>
      <c r="B140" s="84"/>
      <c r="C140" s="384"/>
      <c r="D140" s="385"/>
      <c r="E140" s="386"/>
      <c r="F140" s="386"/>
      <c r="G140" s="386"/>
      <c r="H140" s="386"/>
      <c r="I140" s="386"/>
      <c r="J140" s="386"/>
      <c r="K140" s="386"/>
      <c r="L140" s="386"/>
      <c r="M140" s="387"/>
      <c r="N140" s="82"/>
      <c r="X140" s="121"/>
      <c r="Y140" s="121"/>
      <c r="Z140" s="121"/>
      <c r="AA140" s="75"/>
      <c r="AB140" s="75"/>
      <c r="AC140" s="76"/>
      <c r="AD140" s="69"/>
      <c r="AE140" s="122"/>
    </row>
    <row r="141" spans="1:33" outlineLevel="1">
      <c r="A141" s="83"/>
      <c r="B141" s="84"/>
      <c r="C141" s="384"/>
      <c r="D141" s="385"/>
      <c r="E141" s="386"/>
      <c r="F141" s="386"/>
      <c r="G141" s="386"/>
      <c r="H141" s="386"/>
      <c r="I141" s="386"/>
      <c r="J141" s="386"/>
      <c r="K141" s="386"/>
      <c r="L141" s="386"/>
      <c r="M141" s="387"/>
      <c r="N141" s="82"/>
      <c r="X141" s="121"/>
      <c r="Y141" s="121"/>
      <c r="Z141" s="121"/>
      <c r="AA141" s="75"/>
      <c r="AB141" s="75"/>
      <c r="AC141" s="76"/>
      <c r="AD141" s="69"/>
      <c r="AE141" s="122"/>
    </row>
    <row r="142" spans="1:33" outlineLevel="1">
      <c r="A142" s="83"/>
      <c r="B142" s="84"/>
      <c r="C142" s="384"/>
      <c r="D142" s="385"/>
      <c r="E142" s="386"/>
      <c r="F142" s="386"/>
      <c r="G142" s="386"/>
      <c r="H142" s="386"/>
      <c r="I142" s="386"/>
      <c r="J142" s="386"/>
      <c r="K142" s="386"/>
      <c r="L142" s="386"/>
      <c r="M142" s="387"/>
      <c r="N142" s="82"/>
      <c r="X142" s="121"/>
      <c r="Y142" s="121"/>
      <c r="Z142" s="121"/>
      <c r="AA142" s="75"/>
      <c r="AB142" s="75"/>
      <c r="AC142" s="76"/>
      <c r="AD142" s="69"/>
      <c r="AE142" s="122"/>
    </row>
    <row r="143" spans="1:33" outlineLevel="1">
      <c r="A143" s="83"/>
      <c r="B143" s="84"/>
      <c r="C143" s="384"/>
      <c r="D143" s="385"/>
      <c r="E143" s="386"/>
      <c r="F143" s="386"/>
      <c r="G143" s="386"/>
      <c r="H143" s="386"/>
      <c r="I143" s="386"/>
      <c r="J143" s="386"/>
      <c r="K143" s="386"/>
      <c r="L143" s="386"/>
      <c r="M143" s="387"/>
      <c r="N143" s="82"/>
      <c r="X143" s="121"/>
      <c r="Y143" s="121"/>
      <c r="Z143" s="121"/>
      <c r="AA143" s="75"/>
      <c r="AB143" s="75"/>
      <c r="AC143" s="76"/>
      <c r="AD143" s="69"/>
      <c r="AE143" s="122"/>
    </row>
    <row r="144" spans="1:33" outlineLevel="1">
      <c r="A144" s="83"/>
      <c r="B144" s="84"/>
      <c r="C144" s="384"/>
      <c r="D144" s="385"/>
      <c r="E144" s="386"/>
      <c r="F144" s="386"/>
      <c r="G144" s="386"/>
      <c r="H144" s="386"/>
      <c r="I144" s="386"/>
      <c r="J144" s="386"/>
      <c r="K144" s="386"/>
      <c r="L144" s="386"/>
      <c r="M144" s="387"/>
      <c r="N144" s="82"/>
      <c r="X144" s="121"/>
      <c r="Y144" s="121"/>
      <c r="Z144" s="121"/>
      <c r="AA144" s="75"/>
      <c r="AB144" s="75"/>
      <c r="AC144" s="76"/>
      <c r="AD144" s="69"/>
      <c r="AE144" s="122"/>
    </row>
    <row r="145" spans="1:31" outlineLevel="1">
      <c r="A145" s="83"/>
      <c r="B145" s="84"/>
      <c r="C145" s="384"/>
      <c r="D145" s="385"/>
      <c r="E145" s="386"/>
      <c r="F145" s="386"/>
      <c r="G145" s="386"/>
      <c r="H145" s="386"/>
      <c r="I145" s="386"/>
      <c r="J145" s="386"/>
      <c r="K145" s="386"/>
      <c r="L145" s="386"/>
      <c r="M145" s="387"/>
      <c r="N145" s="82"/>
      <c r="X145" s="121"/>
      <c r="Y145" s="121"/>
      <c r="Z145" s="121"/>
      <c r="AA145" s="75"/>
      <c r="AB145" s="75"/>
      <c r="AC145" s="76"/>
      <c r="AD145" s="69"/>
      <c r="AE145" s="122"/>
    </row>
    <row r="146" spans="1:31" outlineLevel="1">
      <c r="A146" s="83"/>
      <c r="B146" s="84"/>
      <c r="C146" s="384"/>
      <c r="D146" s="385"/>
      <c r="E146" s="386"/>
      <c r="F146" s="386"/>
      <c r="G146" s="386"/>
      <c r="H146" s="386"/>
      <c r="I146" s="386"/>
      <c r="J146" s="386"/>
      <c r="K146" s="386"/>
      <c r="L146" s="386"/>
      <c r="M146" s="387"/>
      <c r="N146" s="82"/>
      <c r="X146" s="121"/>
      <c r="Y146" s="121"/>
      <c r="Z146" s="121"/>
      <c r="AA146" s="75"/>
      <c r="AB146" s="75"/>
      <c r="AC146" s="76"/>
      <c r="AD146" s="69"/>
      <c r="AE146" s="122"/>
    </row>
    <row r="147" spans="1:31" outlineLevel="1">
      <c r="A147" s="83"/>
      <c r="B147" s="84"/>
      <c r="C147" s="384"/>
      <c r="D147" s="385"/>
      <c r="E147" s="386"/>
      <c r="F147" s="386"/>
      <c r="G147" s="386"/>
      <c r="H147" s="386"/>
      <c r="I147" s="386"/>
      <c r="J147" s="386"/>
      <c r="K147" s="386"/>
      <c r="L147" s="386"/>
      <c r="M147" s="387"/>
      <c r="N147" s="82"/>
      <c r="X147" s="121"/>
      <c r="Y147" s="121"/>
      <c r="Z147" s="121"/>
      <c r="AA147" s="75"/>
      <c r="AB147" s="75"/>
      <c r="AC147" s="76"/>
      <c r="AD147" s="69"/>
      <c r="AE147" s="122"/>
    </row>
    <row r="148" spans="1:31" outlineLevel="1">
      <c r="A148" s="83"/>
      <c r="B148" s="84"/>
      <c r="C148" s="384"/>
      <c r="D148" s="385"/>
      <c r="E148" s="386"/>
      <c r="F148" s="386"/>
      <c r="G148" s="386"/>
      <c r="H148" s="386"/>
      <c r="I148" s="386"/>
      <c r="J148" s="386"/>
      <c r="K148" s="386"/>
      <c r="L148" s="386"/>
      <c r="M148" s="387"/>
      <c r="N148" s="82"/>
      <c r="X148" s="121"/>
      <c r="Y148" s="121"/>
      <c r="Z148" s="121"/>
      <c r="AA148" s="75"/>
      <c r="AB148" s="75"/>
      <c r="AC148" s="76"/>
      <c r="AD148" s="69"/>
      <c r="AE148" s="122"/>
    </row>
    <row r="149" spans="1:31" outlineLevel="1">
      <c r="A149" s="83"/>
      <c r="B149" s="84"/>
      <c r="C149" s="384"/>
      <c r="D149" s="385"/>
      <c r="E149" s="386"/>
      <c r="F149" s="386"/>
      <c r="G149" s="386"/>
      <c r="H149" s="386"/>
      <c r="I149" s="386"/>
      <c r="J149" s="386"/>
      <c r="K149" s="386"/>
      <c r="L149" s="386"/>
      <c r="M149" s="387"/>
      <c r="N149" s="82"/>
      <c r="X149" s="121"/>
      <c r="Y149" s="121"/>
      <c r="Z149" s="121"/>
      <c r="AA149" s="75"/>
      <c r="AB149" s="75"/>
      <c r="AC149" s="76"/>
      <c r="AD149" s="69"/>
      <c r="AE149" s="122"/>
    </row>
    <row r="150" spans="1:31" outlineLevel="1">
      <c r="A150" s="83"/>
      <c r="B150" s="84"/>
      <c r="C150" s="384"/>
      <c r="D150" s="385"/>
      <c r="E150" s="386"/>
      <c r="F150" s="386"/>
      <c r="G150" s="386"/>
      <c r="H150" s="386"/>
      <c r="I150" s="386"/>
      <c r="J150" s="386"/>
      <c r="K150" s="386"/>
      <c r="L150" s="386"/>
      <c r="M150" s="387"/>
      <c r="N150" s="82"/>
      <c r="X150" s="121"/>
      <c r="Y150" s="121"/>
      <c r="Z150" s="121"/>
      <c r="AA150" s="75"/>
      <c r="AB150" s="75"/>
      <c r="AC150" s="76"/>
      <c r="AD150" s="69"/>
      <c r="AE150" s="122"/>
    </row>
    <row r="151" spans="1:31" outlineLevel="1">
      <c r="A151" s="83"/>
      <c r="B151" s="84"/>
      <c r="C151" s="384"/>
      <c r="D151" s="385"/>
      <c r="E151" s="386"/>
      <c r="F151" s="386"/>
      <c r="G151" s="386"/>
      <c r="H151" s="386"/>
      <c r="I151" s="386"/>
      <c r="J151" s="386"/>
      <c r="K151" s="386"/>
      <c r="L151" s="386"/>
      <c r="M151" s="387"/>
      <c r="N151" s="82"/>
      <c r="X151" s="121"/>
      <c r="Y151" s="121"/>
      <c r="Z151" s="121"/>
      <c r="AA151" s="75"/>
      <c r="AB151" s="75"/>
      <c r="AC151" s="76"/>
      <c r="AD151" s="69"/>
      <c r="AE151" s="122"/>
    </row>
    <row r="152" spans="1:31" outlineLevel="1">
      <c r="A152" s="83"/>
      <c r="B152" s="84"/>
      <c r="C152" s="384"/>
      <c r="D152" s="385"/>
      <c r="E152" s="386"/>
      <c r="F152" s="386"/>
      <c r="G152" s="386"/>
      <c r="H152" s="386"/>
      <c r="I152" s="386"/>
      <c r="J152" s="386"/>
      <c r="K152" s="386"/>
      <c r="L152" s="386"/>
      <c r="M152" s="387"/>
      <c r="N152" s="82"/>
      <c r="X152" s="121"/>
      <c r="Y152" s="121"/>
      <c r="Z152" s="121"/>
      <c r="AA152" s="75"/>
      <c r="AB152" s="75"/>
      <c r="AC152" s="76"/>
      <c r="AD152" s="69"/>
      <c r="AE152" s="122"/>
    </row>
    <row r="153" spans="1:31" outlineLevel="1">
      <c r="A153" s="83"/>
      <c r="B153" s="84"/>
      <c r="C153" s="384"/>
      <c r="D153" s="385"/>
      <c r="E153" s="386"/>
      <c r="F153" s="386"/>
      <c r="G153" s="386"/>
      <c r="H153" s="386"/>
      <c r="I153" s="386"/>
      <c r="J153" s="386"/>
      <c r="K153" s="386"/>
      <c r="L153" s="386"/>
      <c r="M153" s="387"/>
      <c r="N153" s="82"/>
      <c r="X153" s="121"/>
      <c r="Y153" s="121"/>
      <c r="Z153" s="121"/>
      <c r="AA153" s="75"/>
      <c r="AB153" s="75"/>
      <c r="AC153" s="76"/>
      <c r="AD153" s="69"/>
      <c r="AE153" s="122"/>
    </row>
    <row r="154" spans="1:31" outlineLevel="1">
      <c r="A154" s="83"/>
      <c r="B154" s="84"/>
      <c r="C154" s="384"/>
      <c r="D154" s="385"/>
      <c r="E154" s="386"/>
      <c r="F154" s="386"/>
      <c r="G154" s="386"/>
      <c r="H154" s="386"/>
      <c r="I154" s="386"/>
      <c r="J154" s="386"/>
      <c r="K154" s="386"/>
      <c r="L154" s="386"/>
      <c r="M154" s="387"/>
      <c r="N154" s="82"/>
      <c r="X154" s="121"/>
      <c r="Y154" s="121"/>
      <c r="Z154" s="121"/>
      <c r="AA154" s="75"/>
      <c r="AB154" s="75"/>
      <c r="AC154" s="76"/>
      <c r="AD154" s="69"/>
      <c r="AE154" s="122"/>
    </row>
    <row r="155" spans="1:31" outlineLevel="1">
      <c r="A155" s="83"/>
      <c r="B155" s="84"/>
      <c r="C155" s="384"/>
      <c r="D155" s="385"/>
      <c r="E155" s="386"/>
      <c r="F155" s="386"/>
      <c r="G155" s="386"/>
      <c r="H155" s="386"/>
      <c r="I155" s="386"/>
      <c r="J155" s="386"/>
      <c r="K155" s="386"/>
      <c r="L155" s="386"/>
      <c r="M155" s="387"/>
      <c r="N155" s="82"/>
      <c r="X155" s="121"/>
      <c r="Y155" s="121"/>
      <c r="Z155" s="121"/>
      <c r="AA155" s="75"/>
      <c r="AB155" s="75"/>
      <c r="AC155" s="76"/>
      <c r="AD155" s="69"/>
      <c r="AE155" s="122"/>
    </row>
    <row r="156" spans="1:31" outlineLevel="1">
      <c r="A156" s="83"/>
      <c r="B156" s="84"/>
      <c r="C156" s="384"/>
      <c r="D156" s="385"/>
      <c r="E156" s="386"/>
      <c r="F156" s="386"/>
      <c r="G156" s="386"/>
      <c r="H156" s="386"/>
      <c r="I156" s="386"/>
      <c r="J156" s="386"/>
      <c r="K156" s="386"/>
      <c r="L156" s="386"/>
      <c r="M156" s="387"/>
      <c r="N156" s="82"/>
      <c r="X156" s="121"/>
      <c r="Y156" s="121"/>
      <c r="Z156" s="121"/>
      <c r="AA156" s="75"/>
      <c r="AB156" s="75"/>
      <c r="AC156" s="76"/>
      <c r="AD156" s="69"/>
      <c r="AE156" s="122"/>
    </row>
    <row r="157" spans="1:31" outlineLevel="1">
      <c r="A157" s="83"/>
      <c r="B157" s="84"/>
      <c r="C157" s="384"/>
      <c r="D157" s="385"/>
      <c r="E157" s="386"/>
      <c r="F157" s="386"/>
      <c r="G157" s="386"/>
      <c r="H157" s="386"/>
      <c r="I157" s="386"/>
      <c r="J157" s="386"/>
      <c r="K157" s="386"/>
      <c r="L157" s="386"/>
      <c r="M157" s="387"/>
      <c r="N157" s="82"/>
      <c r="X157" s="121"/>
      <c r="Y157" s="121"/>
      <c r="Z157" s="121"/>
      <c r="AA157" s="75"/>
      <c r="AB157" s="75"/>
      <c r="AC157" s="76"/>
      <c r="AD157" s="69"/>
      <c r="AE157" s="122"/>
    </row>
    <row r="158" spans="1:31" outlineLevel="1">
      <c r="A158" s="83"/>
      <c r="B158" s="84"/>
      <c r="C158" s="384"/>
      <c r="D158" s="385"/>
      <c r="E158" s="386"/>
      <c r="F158" s="386"/>
      <c r="G158" s="386"/>
      <c r="H158" s="386"/>
      <c r="I158" s="386"/>
      <c r="J158" s="386"/>
      <c r="K158" s="386"/>
      <c r="L158" s="386"/>
      <c r="M158" s="387"/>
      <c r="N158" s="82"/>
      <c r="X158" s="121"/>
      <c r="Y158" s="121"/>
      <c r="Z158" s="121"/>
      <c r="AA158" s="75"/>
      <c r="AB158" s="75"/>
      <c r="AC158" s="76"/>
      <c r="AD158" s="69"/>
      <c r="AE158" s="122"/>
    </row>
    <row r="159" spans="1:31" outlineLevel="1">
      <c r="A159" s="83"/>
      <c r="B159" s="84"/>
      <c r="C159" s="384"/>
      <c r="D159" s="385"/>
      <c r="E159" s="386"/>
      <c r="F159" s="386"/>
      <c r="G159" s="386"/>
      <c r="H159" s="386"/>
      <c r="I159" s="386"/>
      <c r="J159" s="386"/>
      <c r="K159" s="386"/>
      <c r="L159" s="386"/>
      <c r="M159" s="387"/>
      <c r="N159" s="82"/>
      <c r="X159" s="121"/>
      <c r="Y159" s="121"/>
      <c r="Z159" s="121"/>
      <c r="AA159" s="75"/>
      <c r="AB159" s="75"/>
      <c r="AC159" s="76"/>
      <c r="AD159" s="69"/>
      <c r="AE159" s="122"/>
    </row>
    <row r="160" spans="1:31" outlineLevel="1">
      <c r="A160" s="83"/>
      <c r="B160" s="84"/>
      <c r="C160" s="384"/>
      <c r="D160" s="385"/>
      <c r="E160" s="386"/>
      <c r="F160" s="386"/>
      <c r="G160" s="386"/>
      <c r="H160" s="386"/>
      <c r="I160" s="386"/>
      <c r="J160" s="386"/>
      <c r="K160" s="386"/>
      <c r="L160" s="386"/>
      <c r="M160" s="387"/>
      <c r="N160" s="82"/>
      <c r="X160" s="121"/>
      <c r="Y160" s="121"/>
      <c r="Z160" s="121"/>
      <c r="AA160" s="75"/>
      <c r="AB160" s="75"/>
      <c r="AC160" s="76"/>
      <c r="AD160" s="69"/>
      <c r="AE160" s="122"/>
    </row>
    <row r="161" spans="1:31" outlineLevel="1">
      <c r="A161" s="83"/>
      <c r="B161" s="84"/>
      <c r="C161" s="384"/>
      <c r="D161" s="385"/>
      <c r="E161" s="386"/>
      <c r="F161" s="386"/>
      <c r="G161" s="386"/>
      <c r="H161" s="386"/>
      <c r="I161" s="386"/>
      <c r="J161" s="386"/>
      <c r="K161" s="386"/>
      <c r="L161" s="386"/>
      <c r="M161" s="387"/>
      <c r="N161" s="82"/>
      <c r="X161" s="121"/>
      <c r="Y161" s="121"/>
      <c r="Z161" s="121"/>
      <c r="AA161" s="75"/>
      <c r="AB161" s="75"/>
      <c r="AC161" s="76"/>
      <c r="AD161" s="69"/>
      <c r="AE161" s="122"/>
    </row>
    <row r="162" spans="1:31" outlineLevel="1">
      <c r="A162" s="83"/>
      <c r="B162" s="84"/>
      <c r="C162" s="384"/>
      <c r="D162" s="385"/>
      <c r="E162" s="386"/>
      <c r="F162" s="386"/>
      <c r="G162" s="386"/>
      <c r="H162" s="386"/>
      <c r="I162" s="386"/>
      <c r="J162" s="386"/>
      <c r="K162" s="386"/>
      <c r="L162" s="386"/>
      <c r="M162" s="387"/>
      <c r="N162" s="82"/>
      <c r="X162" s="121"/>
      <c r="Y162" s="121"/>
      <c r="Z162" s="121"/>
      <c r="AA162" s="75"/>
      <c r="AB162" s="75"/>
      <c r="AC162" s="76"/>
      <c r="AD162" s="69"/>
      <c r="AE162" s="122"/>
    </row>
    <row r="163" spans="1:31" outlineLevel="1">
      <c r="A163" s="83"/>
      <c r="B163" s="84"/>
      <c r="C163" s="384"/>
      <c r="D163" s="385"/>
      <c r="E163" s="386"/>
      <c r="F163" s="386"/>
      <c r="G163" s="386"/>
      <c r="H163" s="386"/>
      <c r="I163" s="386"/>
      <c r="J163" s="386"/>
      <c r="K163" s="386"/>
      <c r="L163" s="386"/>
      <c r="M163" s="387"/>
      <c r="N163" s="82"/>
      <c r="X163" s="121"/>
      <c r="Y163" s="121"/>
      <c r="Z163" s="121"/>
      <c r="AA163" s="75"/>
      <c r="AB163" s="75"/>
      <c r="AC163" s="76"/>
      <c r="AD163" s="69"/>
      <c r="AE163" s="122"/>
    </row>
    <row r="164" spans="1:31" outlineLevel="1">
      <c r="A164" s="83"/>
      <c r="B164" s="84"/>
      <c r="C164" s="384"/>
      <c r="D164" s="385"/>
      <c r="E164" s="386"/>
      <c r="F164" s="386"/>
      <c r="G164" s="386"/>
      <c r="H164" s="386"/>
      <c r="I164" s="386"/>
      <c r="J164" s="386"/>
      <c r="K164" s="386"/>
      <c r="L164" s="386"/>
      <c r="M164" s="387"/>
      <c r="N164" s="82"/>
      <c r="X164" s="121"/>
      <c r="Y164" s="121"/>
      <c r="Z164" s="121"/>
      <c r="AA164" s="75"/>
      <c r="AB164" s="75"/>
      <c r="AC164" s="76"/>
      <c r="AD164" s="69"/>
      <c r="AE164" s="122"/>
    </row>
    <row r="165" spans="1:31" outlineLevel="1">
      <c r="A165" s="83"/>
      <c r="B165" s="84"/>
      <c r="C165" s="384"/>
      <c r="D165" s="385"/>
      <c r="E165" s="386"/>
      <c r="F165" s="386"/>
      <c r="G165" s="386"/>
      <c r="H165" s="386"/>
      <c r="I165" s="386"/>
      <c r="J165" s="386"/>
      <c r="K165" s="386"/>
      <c r="L165" s="386"/>
      <c r="M165" s="387"/>
      <c r="N165" s="82"/>
      <c r="X165" s="121"/>
      <c r="Y165" s="121"/>
      <c r="Z165" s="121"/>
      <c r="AA165" s="75"/>
      <c r="AB165" s="75"/>
      <c r="AC165" s="76"/>
      <c r="AD165" s="69"/>
      <c r="AE165" s="122"/>
    </row>
    <row r="166" spans="1:31" outlineLevel="1">
      <c r="A166" s="83"/>
      <c r="B166" s="84"/>
      <c r="C166" s="384"/>
      <c r="D166" s="385"/>
      <c r="E166" s="386"/>
      <c r="F166" s="386"/>
      <c r="G166" s="386"/>
      <c r="H166" s="386"/>
      <c r="I166" s="386"/>
      <c r="J166" s="386"/>
      <c r="K166" s="386"/>
      <c r="L166" s="386"/>
      <c r="M166" s="387"/>
      <c r="N166" s="82"/>
      <c r="X166" s="121"/>
      <c r="Y166" s="121"/>
      <c r="Z166" s="121"/>
      <c r="AA166" s="75"/>
      <c r="AB166" s="75"/>
      <c r="AC166" s="76"/>
      <c r="AD166" s="69"/>
      <c r="AE166" s="122"/>
    </row>
    <row r="167" spans="1:31" outlineLevel="1">
      <c r="A167" s="83"/>
      <c r="B167" s="84"/>
      <c r="C167" s="384"/>
      <c r="D167" s="385"/>
      <c r="E167" s="386"/>
      <c r="F167" s="386"/>
      <c r="G167" s="386"/>
      <c r="H167" s="386"/>
      <c r="I167" s="386"/>
      <c r="J167" s="386"/>
      <c r="K167" s="386"/>
      <c r="L167" s="386"/>
      <c r="M167" s="387"/>
      <c r="N167" s="82"/>
      <c r="X167" s="121"/>
      <c r="Y167" s="121"/>
      <c r="Z167" s="121"/>
      <c r="AA167" s="75"/>
      <c r="AB167" s="75"/>
      <c r="AC167" s="76"/>
      <c r="AD167" s="69"/>
      <c r="AE167" s="122"/>
    </row>
    <row r="168" spans="1:31" outlineLevel="1">
      <c r="A168" s="83"/>
      <c r="B168" s="84"/>
      <c r="C168" s="384"/>
      <c r="D168" s="385"/>
      <c r="E168" s="386"/>
      <c r="F168" s="386"/>
      <c r="G168" s="386"/>
      <c r="H168" s="386"/>
      <c r="I168" s="386"/>
      <c r="J168" s="386"/>
      <c r="K168" s="386"/>
      <c r="L168" s="386"/>
      <c r="M168" s="387"/>
      <c r="N168" s="82"/>
      <c r="X168" s="121"/>
      <c r="Y168" s="121"/>
      <c r="Z168" s="121"/>
      <c r="AA168" s="75"/>
      <c r="AB168" s="75"/>
      <c r="AC168" s="76"/>
      <c r="AD168" s="69"/>
      <c r="AE168" s="122"/>
    </row>
    <row r="169" spans="1:31" outlineLevel="1">
      <c r="A169" s="83"/>
      <c r="B169" s="84"/>
      <c r="C169" s="384"/>
      <c r="D169" s="385"/>
      <c r="E169" s="386"/>
      <c r="F169" s="386"/>
      <c r="G169" s="386"/>
      <c r="H169" s="386"/>
      <c r="I169" s="386"/>
      <c r="J169" s="386"/>
      <c r="K169" s="386"/>
      <c r="L169" s="386"/>
      <c r="M169" s="387"/>
      <c r="N169" s="82"/>
      <c r="X169" s="121"/>
      <c r="Y169" s="121"/>
      <c r="Z169" s="121"/>
      <c r="AA169" s="75"/>
      <c r="AB169" s="75"/>
      <c r="AC169" s="76"/>
      <c r="AD169" s="69"/>
      <c r="AE169" s="122"/>
    </row>
    <row r="170" spans="1:31" outlineLevel="1">
      <c r="A170" s="83"/>
      <c r="B170" s="84"/>
      <c r="C170" s="384"/>
      <c r="D170" s="385"/>
      <c r="E170" s="386"/>
      <c r="F170" s="386"/>
      <c r="G170" s="386"/>
      <c r="H170" s="386"/>
      <c r="I170" s="386"/>
      <c r="J170" s="386"/>
      <c r="K170" s="386"/>
      <c r="L170" s="386"/>
      <c r="M170" s="387"/>
      <c r="N170" s="82"/>
      <c r="X170" s="121"/>
      <c r="Y170" s="121"/>
      <c r="Z170" s="121"/>
      <c r="AA170" s="75"/>
      <c r="AB170" s="75"/>
      <c r="AC170" s="76"/>
      <c r="AD170" s="69"/>
      <c r="AE170" s="122"/>
    </row>
    <row r="171" spans="1:31" outlineLevel="1">
      <c r="A171" s="83"/>
      <c r="B171" s="84"/>
      <c r="C171" s="384"/>
      <c r="D171" s="385"/>
      <c r="E171" s="386"/>
      <c r="F171" s="386"/>
      <c r="G171" s="386"/>
      <c r="H171" s="386"/>
      <c r="I171" s="386"/>
      <c r="J171" s="386"/>
      <c r="K171" s="386"/>
      <c r="L171" s="386"/>
      <c r="M171" s="387"/>
      <c r="N171" s="82"/>
      <c r="X171" s="121"/>
      <c r="Y171" s="121"/>
      <c r="Z171" s="121"/>
      <c r="AA171" s="75"/>
      <c r="AB171" s="75"/>
      <c r="AC171" s="76"/>
      <c r="AD171" s="69"/>
      <c r="AE171" s="122"/>
    </row>
    <row r="172" spans="1:31" outlineLevel="1">
      <c r="A172" s="83"/>
      <c r="B172" s="84"/>
      <c r="C172" s="384"/>
      <c r="D172" s="385"/>
      <c r="E172" s="386"/>
      <c r="F172" s="386"/>
      <c r="G172" s="386"/>
      <c r="H172" s="386"/>
      <c r="I172" s="386"/>
      <c r="J172" s="386"/>
      <c r="K172" s="386"/>
      <c r="L172" s="386"/>
      <c r="M172" s="387"/>
      <c r="N172" s="82"/>
      <c r="X172" s="121"/>
      <c r="Y172" s="121"/>
      <c r="Z172" s="121"/>
      <c r="AA172" s="75"/>
      <c r="AB172" s="75"/>
      <c r="AC172" s="76"/>
      <c r="AD172" s="69"/>
      <c r="AE172" s="122"/>
    </row>
    <row r="173" spans="1:31" outlineLevel="1">
      <c r="A173" s="83"/>
      <c r="B173" s="84"/>
      <c r="C173" s="84"/>
      <c r="D173" s="123"/>
      <c r="E173" s="124"/>
      <c r="F173" s="124"/>
      <c r="G173" s="124"/>
      <c r="H173" s="124"/>
      <c r="I173" s="124"/>
      <c r="J173" s="124"/>
      <c r="K173" s="125"/>
      <c r="L173" s="61"/>
      <c r="M173" s="61"/>
      <c r="N173" s="82"/>
      <c r="X173" s="121"/>
      <c r="Y173" s="121"/>
      <c r="Z173" s="121"/>
      <c r="AA173" s="75"/>
      <c r="AB173" s="75"/>
      <c r="AC173" s="76"/>
      <c r="AD173" s="69"/>
      <c r="AE173" s="122"/>
    </row>
    <row r="174" spans="1:31" outlineLevel="1">
      <c r="A174" s="83"/>
      <c r="B174" s="84"/>
      <c r="C174" s="84"/>
      <c r="D174" s="123"/>
      <c r="E174" s="124"/>
      <c r="F174" s="124"/>
      <c r="G174" s="124"/>
      <c r="H174" s="124"/>
      <c r="I174" s="124"/>
      <c r="J174" s="124"/>
      <c r="K174" s="125"/>
      <c r="L174" s="61"/>
      <c r="M174" s="61"/>
      <c r="N174" s="82"/>
      <c r="X174" s="121"/>
      <c r="Y174" s="121"/>
      <c r="Z174" s="121"/>
      <c r="AA174" s="75"/>
      <c r="AB174" s="75"/>
      <c r="AC174" s="76"/>
      <c r="AD174" s="69"/>
      <c r="AE174" s="122"/>
    </row>
    <row r="175" spans="1:31" outlineLevel="1">
      <c r="A175" s="83"/>
      <c r="B175" s="84"/>
      <c r="C175" s="84"/>
      <c r="D175" s="123"/>
      <c r="E175" s="124"/>
      <c r="F175" s="124"/>
      <c r="G175" s="124"/>
      <c r="H175" s="124"/>
      <c r="I175" s="124"/>
      <c r="J175" s="124"/>
      <c r="K175" s="125"/>
      <c r="L175" s="61"/>
      <c r="M175" s="61"/>
      <c r="N175" s="82"/>
      <c r="X175" s="121"/>
      <c r="Y175" s="121"/>
      <c r="Z175" s="121"/>
      <c r="AA175" s="75"/>
      <c r="AB175" s="75"/>
      <c r="AC175" s="76"/>
      <c r="AD175" s="69"/>
      <c r="AE175" s="122"/>
    </row>
    <row r="176" spans="1:31" outlineLevel="1">
      <c r="A176" s="83"/>
      <c r="B176" s="84"/>
      <c r="C176" s="84"/>
      <c r="D176" s="123"/>
      <c r="E176" s="124"/>
      <c r="F176" s="124"/>
      <c r="G176" s="124"/>
      <c r="H176" s="124"/>
      <c r="I176" s="124"/>
      <c r="J176" s="124"/>
      <c r="K176" s="125"/>
      <c r="L176" s="61"/>
      <c r="M176" s="61"/>
      <c r="N176" s="82"/>
      <c r="X176" s="121"/>
      <c r="Y176" s="121"/>
      <c r="Z176" s="121"/>
      <c r="AA176" s="75"/>
      <c r="AB176" s="75"/>
      <c r="AC176" s="76"/>
      <c r="AD176" s="69"/>
      <c r="AE176" s="122"/>
    </row>
    <row r="177" spans="1:31" outlineLevel="1">
      <c r="A177" s="83"/>
      <c r="B177" s="84"/>
      <c r="C177" s="84"/>
      <c r="D177" s="123"/>
      <c r="E177" s="124"/>
      <c r="F177" s="124"/>
      <c r="G177" s="124"/>
      <c r="H177" s="124"/>
      <c r="I177" s="124"/>
      <c r="J177" s="124"/>
      <c r="K177" s="125"/>
      <c r="L177" s="61"/>
      <c r="M177" s="61"/>
      <c r="N177" s="82"/>
      <c r="X177" s="121"/>
      <c r="Y177" s="121"/>
      <c r="Z177" s="121"/>
      <c r="AA177" s="75"/>
      <c r="AB177" s="75"/>
      <c r="AC177" s="76"/>
      <c r="AD177" s="69"/>
      <c r="AE177" s="122"/>
    </row>
    <row r="178" spans="1:31" outlineLevel="1">
      <c r="A178" s="83"/>
      <c r="B178" s="84"/>
      <c r="C178" s="84"/>
      <c r="D178" s="123"/>
      <c r="E178" s="124"/>
      <c r="F178" s="124"/>
      <c r="G178" s="124"/>
      <c r="H178" s="124"/>
      <c r="I178" s="124"/>
      <c r="J178" s="124"/>
      <c r="K178" s="125"/>
      <c r="L178" s="61"/>
      <c r="M178" s="61"/>
      <c r="N178" s="82"/>
      <c r="X178" s="121"/>
      <c r="Y178" s="121"/>
      <c r="Z178" s="121"/>
      <c r="AA178" s="75"/>
      <c r="AB178" s="75"/>
      <c r="AC178" s="76"/>
      <c r="AD178" s="69"/>
      <c r="AE178" s="122"/>
    </row>
    <row r="179" spans="1:31" outlineLevel="1">
      <c r="A179" s="83"/>
      <c r="B179" s="84"/>
      <c r="C179" s="84"/>
      <c r="D179" s="123"/>
      <c r="E179" s="124"/>
      <c r="F179" s="124"/>
      <c r="G179" s="124"/>
      <c r="H179" s="124"/>
      <c r="I179" s="124"/>
      <c r="J179" s="124"/>
      <c r="K179" s="125"/>
      <c r="L179" s="61"/>
      <c r="M179" s="61"/>
      <c r="N179" s="82"/>
      <c r="X179" s="121"/>
      <c r="Y179" s="121"/>
      <c r="Z179" s="121"/>
      <c r="AA179" s="75"/>
      <c r="AB179" s="75"/>
      <c r="AC179" s="76"/>
      <c r="AD179" s="69"/>
      <c r="AE179" s="122"/>
    </row>
    <row r="180" spans="1:31" outlineLevel="1">
      <c r="A180" s="83"/>
      <c r="B180" s="84"/>
      <c r="C180" s="84"/>
      <c r="D180" s="123"/>
      <c r="E180" s="124"/>
      <c r="F180" s="124"/>
      <c r="G180" s="124"/>
      <c r="H180" s="124"/>
      <c r="I180" s="124"/>
      <c r="J180" s="124"/>
      <c r="K180" s="125"/>
      <c r="L180" s="61"/>
      <c r="M180" s="61"/>
      <c r="N180" s="82"/>
      <c r="X180" s="121"/>
      <c r="Y180" s="121"/>
      <c r="Z180" s="121"/>
      <c r="AA180" s="75"/>
      <c r="AB180" s="75"/>
      <c r="AC180" s="76"/>
      <c r="AD180" s="69"/>
      <c r="AE180" s="122"/>
    </row>
    <row r="181" spans="1:31" outlineLevel="1">
      <c r="A181" s="83"/>
      <c r="B181" s="84"/>
      <c r="C181" s="84"/>
      <c r="D181" s="123"/>
      <c r="E181" s="124"/>
      <c r="F181" s="124"/>
      <c r="G181" s="124"/>
      <c r="H181" s="124"/>
      <c r="I181" s="124"/>
      <c r="J181" s="124"/>
      <c r="K181" s="125"/>
      <c r="L181" s="61"/>
      <c r="M181" s="61"/>
      <c r="N181" s="82"/>
      <c r="X181" s="121"/>
      <c r="Y181" s="121"/>
      <c r="Z181" s="121"/>
      <c r="AA181" s="75"/>
      <c r="AB181" s="75"/>
      <c r="AC181" s="76"/>
      <c r="AD181" s="69"/>
      <c r="AE181" s="122"/>
    </row>
    <row r="182" spans="1:31" outlineLevel="1">
      <c r="A182" s="83"/>
      <c r="B182" s="84"/>
      <c r="C182" s="84"/>
      <c r="D182" s="123"/>
      <c r="E182" s="124"/>
      <c r="F182" s="124"/>
      <c r="G182" s="124"/>
      <c r="H182" s="124"/>
      <c r="I182" s="124"/>
      <c r="J182" s="124"/>
      <c r="K182" s="125"/>
      <c r="L182" s="61"/>
      <c r="M182" s="61"/>
      <c r="N182" s="82"/>
      <c r="X182" s="121"/>
      <c r="Y182" s="121"/>
      <c r="Z182" s="121"/>
      <c r="AA182" s="75"/>
      <c r="AB182" s="75"/>
      <c r="AC182" s="76"/>
      <c r="AD182" s="69"/>
      <c r="AE182" s="122"/>
    </row>
    <row r="183" spans="1:31" outlineLevel="1">
      <c r="A183" s="83"/>
      <c r="B183" s="84"/>
      <c r="C183" s="84"/>
      <c r="D183" s="123"/>
      <c r="E183" s="124"/>
      <c r="F183" s="124"/>
      <c r="G183" s="124"/>
      <c r="H183" s="124"/>
      <c r="I183" s="124"/>
      <c r="J183" s="124"/>
      <c r="K183" s="125"/>
      <c r="L183" s="61"/>
      <c r="M183" s="61"/>
      <c r="N183" s="82"/>
      <c r="X183" s="121"/>
      <c r="Y183" s="121"/>
      <c r="Z183" s="121"/>
      <c r="AA183" s="75"/>
      <c r="AB183" s="75"/>
      <c r="AC183" s="76"/>
      <c r="AD183" s="69"/>
      <c r="AE183" s="122"/>
    </row>
    <row r="184" spans="1:31" outlineLevel="1">
      <c r="A184" s="83"/>
      <c r="B184" s="84"/>
      <c r="C184" s="84"/>
      <c r="D184" s="123"/>
      <c r="E184" s="124"/>
      <c r="F184" s="124"/>
      <c r="G184" s="124"/>
      <c r="H184" s="124"/>
      <c r="I184" s="124"/>
      <c r="J184" s="124"/>
      <c r="K184" s="125"/>
      <c r="L184" s="61"/>
      <c r="M184" s="61"/>
      <c r="N184" s="82"/>
      <c r="X184" s="121"/>
      <c r="Y184" s="121"/>
      <c r="Z184" s="121"/>
      <c r="AA184" s="75"/>
      <c r="AB184" s="75"/>
      <c r="AC184" s="76"/>
      <c r="AD184" s="69"/>
      <c r="AE184" s="122"/>
    </row>
    <row r="185" spans="1:31" outlineLevel="1">
      <c r="A185" s="83"/>
      <c r="B185" s="84"/>
      <c r="C185" s="84"/>
      <c r="D185" s="123"/>
      <c r="E185" s="124"/>
      <c r="F185" s="124"/>
      <c r="G185" s="124"/>
      <c r="H185" s="124"/>
      <c r="I185" s="124"/>
      <c r="J185" s="124"/>
      <c r="K185" s="125"/>
      <c r="L185" s="61"/>
      <c r="M185" s="61"/>
      <c r="N185" s="82"/>
      <c r="X185" s="121"/>
      <c r="Y185" s="121"/>
      <c r="Z185" s="121"/>
      <c r="AA185" s="75"/>
      <c r="AB185" s="75"/>
      <c r="AC185" s="76"/>
      <c r="AD185" s="69"/>
      <c r="AE185" s="122"/>
    </row>
    <row r="186" spans="1:31" outlineLevel="1">
      <c r="A186" s="83"/>
      <c r="B186" s="84"/>
      <c r="C186" s="84"/>
      <c r="D186" s="123"/>
      <c r="E186" s="124"/>
      <c r="F186" s="124"/>
      <c r="G186" s="124"/>
      <c r="H186" s="124"/>
      <c r="I186" s="124"/>
      <c r="J186" s="124"/>
      <c r="K186" s="125"/>
      <c r="L186" s="61"/>
      <c r="M186" s="61"/>
      <c r="N186" s="82"/>
      <c r="X186" s="121"/>
      <c r="Y186" s="121"/>
      <c r="Z186" s="121"/>
      <c r="AA186" s="75"/>
      <c r="AB186" s="75"/>
      <c r="AC186" s="76"/>
      <c r="AD186" s="69"/>
      <c r="AE186" s="122"/>
    </row>
    <row r="187" spans="1:31" outlineLevel="1">
      <c r="A187" s="83"/>
      <c r="B187" s="84"/>
      <c r="C187" s="84"/>
      <c r="D187" s="123"/>
      <c r="E187" s="124"/>
      <c r="F187" s="124"/>
      <c r="G187" s="124"/>
      <c r="H187" s="124"/>
      <c r="I187" s="124"/>
      <c r="J187" s="124"/>
      <c r="K187" s="125"/>
      <c r="L187" s="61"/>
      <c r="M187" s="61"/>
      <c r="N187" s="82"/>
      <c r="X187" s="121"/>
      <c r="Y187" s="121"/>
      <c r="Z187" s="121"/>
      <c r="AA187" s="75"/>
      <c r="AB187" s="75"/>
      <c r="AC187" s="76"/>
      <c r="AD187" s="69"/>
      <c r="AE187" s="122"/>
    </row>
    <row r="188" spans="1:31" outlineLevel="1">
      <c r="A188" s="83"/>
      <c r="B188" s="84"/>
      <c r="C188" s="84"/>
      <c r="D188" s="123"/>
      <c r="E188" s="124"/>
      <c r="F188" s="124"/>
      <c r="G188" s="124"/>
      <c r="H188" s="124"/>
      <c r="I188" s="124"/>
      <c r="J188" s="124"/>
      <c r="K188" s="125"/>
      <c r="L188" s="61"/>
      <c r="M188" s="61"/>
      <c r="N188" s="82"/>
      <c r="X188" s="121"/>
      <c r="Y188" s="121"/>
      <c r="Z188" s="121"/>
      <c r="AA188" s="75"/>
      <c r="AB188" s="75"/>
      <c r="AC188" s="76"/>
      <c r="AD188" s="69"/>
      <c r="AE188" s="122"/>
    </row>
    <row r="189" spans="1:31" outlineLevel="1">
      <c r="A189" s="83"/>
      <c r="B189" s="84"/>
      <c r="C189" s="84"/>
      <c r="D189" s="123"/>
      <c r="E189" s="124"/>
      <c r="F189" s="124"/>
      <c r="G189" s="124"/>
      <c r="H189" s="124"/>
      <c r="I189" s="124"/>
      <c r="J189" s="124"/>
      <c r="K189" s="125"/>
      <c r="L189" s="61"/>
      <c r="M189" s="61"/>
      <c r="N189" s="82"/>
      <c r="X189" s="121"/>
      <c r="Y189" s="121"/>
      <c r="Z189" s="121"/>
      <c r="AA189" s="75"/>
      <c r="AB189" s="75"/>
      <c r="AC189" s="76"/>
      <c r="AD189" s="69"/>
      <c r="AE189" s="122"/>
    </row>
    <row r="190" spans="1:31" outlineLevel="1">
      <c r="A190" s="83"/>
      <c r="B190" s="84"/>
      <c r="C190" s="84"/>
      <c r="D190" s="123"/>
      <c r="E190" s="124"/>
      <c r="F190" s="124"/>
      <c r="G190" s="124"/>
      <c r="H190" s="124"/>
      <c r="I190" s="124"/>
      <c r="J190" s="124"/>
      <c r="K190" s="125"/>
      <c r="L190" s="61"/>
      <c r="M190" s="61"/>
      <c r="N190" s="82"/>
      <c r="X190" s="121"/>
      <c r="Y190" s="121"/>
      <c r="Z190" s="121"/>
      <c r="AA190" s="75"/>
      <c r="AB190" s="75"/>
      <c r="AC190" s="76"/>
      <c r="AD190" s="69"/>
      <c r="AE190" s="122"/>
    </row>
    <row r="191" spans="1:31" outlineLevel="1">
      <c r="A191" s="83"/>
      <c r="B191" s="84"/>
      <c r="C191" s="84"/>
      <c r="D191" s="123"/>
      <c r="E191" s="124"/>
      <c r="F191" s="124"/>
      <c r="G191" s="124"/>
      <c r="H191" s="124"/>
      <c r="I191" s="124"/>
      <c r="J191" s="124"/>
      <c r="K191" s="125"/>
      <c r="L191" s="61"/>
      <c r="M191" s="61"/>
      <c r="N191" s="82"/>
      <c r="X191" s="121"/>
      <c r="Y191" s="121"/>
      <c r="Z191" s="121"/>
      <c r="AA191" s="75"/>
      <c r="AB191" s="75"/>
      <c r="AC191" s="76"/>
      <c r="AD191" s="69"/>
      <c r="AE191" s="122"/>
    </row>
    <row r="192" spans="1:31" outlineLevel="1">
      <c r="A192" s="83"/>
      <c r="B192" s="84"/>
      <c r="C192" s="84"/>
      <c r="D192" s="123"/>
      <c r="E192" s="124"/>
      <c r="F192" s="124"/>
      <c r="G192" s="124"/>
      <c r="H192" s="124"/>
      <c r="I192" s="124"/>
      <c r="J192" s="124"/>
      <c r="K192" s="125"/>
      <c r="L192" s="61"/>
      <c r="M192" s="61"/>
      <c r="N192" s="82"/>
      <c r="X192" s="121"/>
      <c r="Y192" s="121"/>
      <c r="Z192" s="121"/>
      <c r="AA192" s="75"/>
      <c r="AB192" s="75"/>
      <c r="AC192" s="76"/>
      <c r="AD192" s="69"/>
      <c r="AE192" s="122"/>
    </row>
    <row r="193" spans="1:33" outlineLevel="1">
      <c r="A193" s="83"/>
      <c r="B193" s="84"/>
      <c r="C193" s="84"/>
      <c r="D193" s="123"/>
      <c r="E193" s="124"/>
      <c r="F193" s="124"/>
      <c r="G193" s="124"/>
      <c r="H193" s="124"/>
      <c r="I193" s="124"/>
      <c r="J193" s="124"/>
      <c r="K193" s="125"/>
      <c r="L193" s="61"/>
      <c r="M193" s="61"/>
      <c r="N193" s="82"/>
      <c r="X193" s="121"/>
      <c r="Y193" s="121"/>
      <c r="Z193" s="121"/>
      <c r="AA193" s="75"/>
      <c r="AB193" s="75"/>
      <c r="AC193" s="76"/>
      <c r="AD193" s="69"/>
      <c r="AE193" s="122"/>
    </row>
    <row r="194" spans="1:33" outlineLevel="1">
      <c r="A194" s="83"/>
      <c r="B194" s="84"/>
      <c r="C194" s="84"/>
      <c r="D194" s="123"/>
      <c r="E194" s="124"/>
      <c r="F194" s="124"/>
      <c r="G194" s="124"/>
      <c r="H194" s="124"/>
      <c r="I194" s="124"/>
      <c r="J194" s="124"/>
      <c r="K194" s="125"/>
      <c r="L194" s="61"/>
      <c r="M194" s="61"/>
      <c r="N194" s="82"/>
      <c r="X194" s="121"/>
      <c r="Y194" s="121"/>
      <c r="Z194" s="121"/>
      <c r="AA194" s="75"/>
      <c r="AB194" s="75"/>
      <c r="AC194" s="76"/>
      <c r="AD194" s="69"/>
      <c r="AE194" s="122"/>
    </row>
    <row r="195" spans="1:33" outlineLevel="1">
      <c r="A195" s="83"/>
      <c r="B195" s="84"/>
      <c r="C195" s="84"/>
      <c r="D195" s="123"/>
      <c r="E195" s="124"/>
      <c r="F195" s="124"/>
      <c r="G195" s="124"/>
      <c r="H195" s="124"/>
      <c r="I195" s="124"/>
      <c r="J195" s="124"/>
      <c r="K195" s="125"/>
      <c r="L195" s="61"/>
      <c r="M195" s="61"/>
      <c r="N195" s="82"/>
      <c r="X195" s="121"/>
      <c r="Y195" s="121"/>
      <c r="Z195" s="121"/>
      <c r="AA195" s="75"/>
      <c r="AB195" s="75"/>
      <c r="AC195" s="76"/>
      <c r="AD195" s="69"/>
      <c r="AE195" s="122"/>
    </row>
    <row r="196" spans="1:33" outlineLevel="1">
      <c r="A196" s="83"/>
      <c r="B196" s="84"/>
      <c r="C196" s="84"/>
      <c r="D196" s="123"/>
      <c r="E196" s="124"/>
      <c r="F196" s="124"/>
      <c r="G196" s="124"/>
      <c r="H196" s="124"/>
      <c r="I196" s="124"/>
      <c r="J196" s="124"/>
      <c r="K196" s="125"/>
      <c r="L196" s="61"/>
      <c r="M196" s="61"/>
      <c r="N196" s="82"/>
      <c r="X196" s="121"/>
      <c r="Y196" s="121"/>
      <c r="Z196" s="121"/>
      <c r="AA196" s="75"/>
      <c r="AB196" s="75"/>
      <c r="AC196" s="76"/>
      <c r="AD196" s="69"/>
      <c r="AE196" s="122"/>
    </row>
    <row r="197" spans="1:33" outlineLevel="1">
      <c r="A197" s="83"/>
      <c r="B197" s="84"/>
      <c r="C197" s="84"/>
      <c r="D197" s="123"/>
      <c r="E197" s="124"/>
      <c r="F197" s="124"/>
      <c r="G197" s="124"/>
      <c r="H197" s="124"/>
      <c r="I197" s="124"/>
      <c r="J197" s="124"/>
      <c r="K197" s="125"/>
      <c r="L197" s="61"/>
      <c r="M197" s="61"/>
      <c r="N197" s="82"/>
      <c r="X197" s="121"/>
      <c r="Y197" s="121"/>
      <c r="Z197" s="121"/>
      <c r="AA197" s="75"/>
      <c r="AB197" s="75"/>
      <c r="AC197" s="76"/>
      <c r="AD197" s="69"/>
      <c r="AE197" s="122"/>
    </row>
    <row r="198" spans="1:33" outlineLevel="1">
      <c r="A198" s="83"/>
      <c r="B198" s="84"/>
      <c r="C198" s="84"/>
      <c r="D198" s="123"/>
      <c r="E198" s="124"/>
      <c r="F198" s="124"/>
      <c r="G198" s="124"/>
      <c r="H198" s="124"/>
      <c r="I198" s="124"/>
      <c r="J198" s="124"/>
      <c r="K198" s="125"/>
      <c r="L198" s="61"/>
      <c r="M198" s="61"/>
      <c r="N198" s="82"/>
      <c r="X198" s="121"/>
      <c r="Y198" s="121"/>
      <c r="Z198" s="121"/>
      <c r="AA198" s="75"/>
      <c r="AB198" s="75"/>
      <c r="AC198" s="76"/>
      <c r="AD198" s="69"/>
      <c r="AE198" s="122"/>
    </row>
    <row r="199" spans="1:33" outlineLevel="1">
      <c r="A199" s="83"/>
      <c r="B199" s="84"/>
      <c r="C199" s="84"/>
      <c r="D199" s="123"/>
      <c r="E199" s="124"/>
      <c r="F199" s="124"/>
      <c r="G199" s="124"/>
      <c r="H199" s="124"/>
      <c r="I199" s="124"/>
      <c r="J199" s="124"/>
      <c r="K199" s="125"/>
      <c r="L199" s="61"/>
      <c r="M199" s="61"/>
      <c r="N199" s="82"/>
      <c r="X199" s="121"/>
      <c r="Y199" s="121"/>
      <c r="Z199" s="121"/>
      <c r="AA199" s="75"/>
      <c r="AB199" s="75"/>
      <c r="AC199" s="76"/>
      <c r="AD199" s="69"/>
      <c r="AE199" s="122"/>
    </row>
    <row r="200" spans="1:33" outlineLevel="1">
      <c r="A200" s="83"/>
      <c r="B200" s="84"/>
      <c r="C200" s="84"/>
      <c r="D200" s="123"/>
      <c r="E200" s="124"/>
      <c r="F200" s="124"/>
      <c r="G200" s="124"/>
      <c r="H200" s="124"/>
      <c r="I200" s="124"/>
      <c r="J200" s="124"/>
      <c r="K200" s="125"/>
      <c r="L200" s="61"/>
      <c r="M200" s="61"/>
      <c r="N200" s="82"/>
      <c r="X200" s="121"/>
      <c r="Y200" s="121"/>
      <c r="Z200" s="121"/>
      <c r="AA200" s="75"/>
      <c r="AB200" s="75"/>
      <c r="AC200" s="76"/>
      <c r="AD200" s="69"/>
      <c r="AE200" s="122"/>
    </row>
    <row r="201" spans="1:33" outlineLevel="1">
      <c r="A201" s="83"/>
      <c r="B201" s="84"/>
      <c r="C201" s="84"/>
      <c r="D201" s="123"/>
      <c r="E201" s="124"/>
      <c r="F201" s="124"/>
      <c r="G201" s="124"/>
      <c r="H201" s="124"/>
      <c r="I201" s="124"/>
      <c r="J201" s="124"/>
      <c r="K201" s="125"/>
      <c r="L201" s="61"/>
      <c r="M201" s="61"/>
      <c r="N201" s="82"/>
      <c r="X201" s="121"/>
      <c r="Y201" s="121"/>
      <c r="Z201" s="121"/>
      <c r="AA201" s="75"/>
      <c r="AB201" s="75"/>
      <c r="AC201" s="76"/>
      <c r="AD201" s="69"/>
      <c r="AE201" s="122"/>
    </row>
    <row r="202" spans="1:33" outlineLevel="1">
      <c r="A202" s="83"/>
      <c r="B202" s="84"/>
      <c r="C202" s="84"/>
      <c r="D202" s="123"/>
      <c r="E202" s="124"/>
      <c r="F202" s="124"/>
      <c r="G202" s="124"/>
      <c r="H202" s="124"/>
      <c r="I202" s="124"/>
      <c r="J202" s="124"/>
      <c r="K202" s="125"/>
      <c r="L202" s="61"/>
      <c r="M202" s="61"/>
      <c r="N202" s="82"/>
      <c r="X202" s="121"/>
      <c r="Y202" s="121"/>
      <c r="Z202" s="121"/>
      <c r="AA202" s="75"/>
      <c r="AB202" s="75"/>
      <c r="AC202" s="76"/>
      <c r="AD202" s="69"/>
      <c r="AE202" s="122"/>
    </row>
    <row r="203" spans="1:33" outlineLevel="1">
      <c r="A203" s="81"/>
      <c r="B203" s="61"/>
      <c r="C203" s="61"/>
      <c r="D203" s="61"/>
      <c r="E203" s="61"/>
      <c r="F203" s="61"/>
      <c r="G203" s="61"/>
      <c r="H203" s="61"/>
      <c r="I203" s="61"/>
      <c r="J203" s="61"/>
      <c r="K203" s="61"/>
      <c r="L203" s="61"/>
      <c r="M203" s="61"/>
      <c r="N203" s="82"/>
      <c r="X203" s="121" t="s">
        <v>245</v>
      </c>
      <c r="Y203" s="121" t="s">
        <v>263</v>
      </c>
      <c r="Z203" s="121" t="str">
        <f>CONCATENATE(X203,Y203)</f>
        <v>LH</v>
      </c>
      <c r="AA203" s="75" t="s">
        <v>292</v>
      </c>
      <c r="AB203" s="75" t="s">
        <v>265</v>
      </c>
      <c r="AC203" s="76" t="str">
        <f>CONCATENATE(Z203,AA203)</f>
        <v>LH$1321</v>
      </c>
      <c r="AD203" s="69" t="str">
        <f>CONCATENATE(AB203,AC203)</f>
        <v>=Consolidated!LH$1321</v>
      </c>
      <c r="AE203" s="69" t="s">
        <v>390</v>
      </c>
    </row>
    <row r="204" spans="1:33" outlineLevel="1">
      <c r="A204" s="81"/>
      <c r="B204" s="61"/>
      <c r="C204" s="61"/>
      <c r="D204" s="61"/>
      <c r="E204" s="61"/>
      <c r="F204" s="61"/>
      <c r="G204" s="61"/>
      <c r="H204" s="61"/>
      <c r="I204" s="61"/>
      <c r="J204" s="61"/>
      <c r="K204" s="61"/>
      <c r="L204" s="61"/>
      <c r="M204" s="61"/>
      <c r="N204" s="82"/>
      <c r="X204" s="121"/>
      <c r="Y204" s="121"/>
      <c r="Z204" s="121"/>
      <c r="AA204" s="75"/>
      <c r="AB204" s="75"/>
      <c r="AC204" s="76"/>
      <c r="AD204" s="69"/>
      <c r="AE204" s="69"/>
    </row>
    <row r="205" spans="1:33" outlineLevel="1">
      <c r="A205" s="81"/>
      <c r="B205" s="61"/>
      <c r="C205" s="61"/>
      <c r="D205" s="61"/>
      <c r="E205" s="61"/>
      <c r="F205" s="61"/>
      <c r="G205" s="61"/>
      <c r="H205" s="61"/>
      <c r="I205" s="61"/>
      <c r="J205" s="61"/>
      <c r="K205" s="61"/>
      <c r="L205" s="61"/>
      <c r="M205" s="61"/>
      <c r="N205" s="82"/>
      <c r="X205" s="121" t="s">
        <v>245</v>
      </c>
      <c r="Y205" s="121" t="s">
        <v>204</v>
      </c>
      <c r="Z205" s="121" t="str">
        <f t="shared" ref="Z205:Z212" si="16">CONCATENATE(X205,Y205)</f>
        <v>LI</v>
      </c>
      <c r="AA205" s="75" t="s">
        <v>292</v>
      </c>
      <c r="AB205" s="75" t="s">
        <v>265</v>
      </c>
      <c r="AC205" s="76" t="str">
        <f t="shared" ref="AC205:AC212" si="17">CONCATENATE(Z205,AA205)</f>
        <v>LI$1321</v>
      </c>
      <c r="AD205" s="69" t="str">
        <f t="shared" ref="AD205:AD212" si="18">CONCATENATE(AB205,AC205)</f>
        <v>=Consolidated!LI$1321</v>
      </c>
      <c r="AE205" s="122" t="s">
        <v>391</v>
      </c>
      <c r="AG205" s="67">
        <v>1</v>
      </c>
    </row>
    <row r="206" spans="1:33" ht="15" thickBot="1">
      <c r="A206" s="85"/>
      <c r="B206" s="86"/>
      <c r="C206" s="86"/>
      <c r="D206" s="86"/>
      <c r="E206" s="86"/>
      <c r="F206" s="86"/>
      <c r="G206" s="86"/>
      <c r="H206" s="86"/>
      <c r="I206" s="86"/>
      <c r="J206" s="86"/>
      <c r="K206" s="86"/>
      <c r="L206" s="86"/>
      <c r="M206" s="86"/>
      <c r="N206" s="87"/>
      <c r="X206" s="121" t="s">
        <v>245</v>
      </c>
      <c r="Y206" s="121" t="s">
        <v>243</v>
      </c>
      <c r="Z206" s="121" t="str">
        <f t="shared" si="16"/>
        <v>LJ</v>
      </c>
      <c r="AA206" s="75" t="s">
        <v>292</v>
      </c>
      <c r="AB206" s="75" t="s">
        <v>265</v>
      </c>
      <c r="AC206" s="76" t="str">
        <f t="shared" si="17"/>
        <v>LJ$1321</v>
      </c>
      <c r="AD206" s="69" t="str">
        <f t="shared" si="18"/>
        <v>=Consolidated!LJ$1321</v>
      </c>
      <c r="AE206" s="122" t="s">
        <v>392</v>
      </c>
      <c r="AG206" s="67">
        <v>2</v>
      </c>
    </row>
    <row r="207" spans="1:33" ht="18">
      <c r="A207" s="77"/>
      <c r="B207" s="78"/>
      <c r="C207" s="79" t="s">
        <v>286</v>
      </c>
      <c r="D207" s="78"/>
      <c r="E207" s="78" t="s">
        <v>283</v>
      </c>
      <c r="F207" s="78"/>
      <c r="G207" s="78"/>
      <c r="H207" s="78"/>
      <c r="I207" s="78"/>
      <c r="J207" s="78"/>
      <c r="K207" s="78"/>
      <c r="L207" s="78"/>
      <c r="M207" s="78"/>
      <c r="N207" s="80"/>
      <c r="X207" s="121" t="s">
        <v>245</v>
      </c>
      <c r="Y207" s="121" t="s">
        <v>244</v>
      </c>
      <c r="Z207" s="121" t="str">
        <f t="shared" si="16"/>
        <v>LK</v>
      </c>
      <c r="AA207" s="75" t="s">
        <v>292</v>
      </c>
      <c r="AB207" s="75" t="s">
        <v>265</v>
      </c>
      <c r="AC207" s="76" t="str">
        <f t="shared" si="17"/>
        <v>LK$1321</v>
      </c>
      <c r="AD207" s="69" t="str">
        <f t="shared" si="18"/>
        <v>=Consolidated!LK$1321</v>
      </c>
      <c r="AE207" s="122" t="s">
        <v>393</v>
      </c>
      <c r="AG207" s="67">
        <v>3</v>
      </c>
    </row>
    <row r="208" spans="1:33" ht="15" outlineLevel="1" thickBot="1">
      <c r="A208" s="81"/>
      <c r="B208" s="61"/>
      <c r="C208" s="61"/>
      <c r="D208" s="61"/>
      <c r="E208" s="61"/>
      <c r="F208" s="61"/>
      <c r="G208" s="61"/>
      <c r="H208" s="61"/>
      <c r="I208" s="61"/>
      <c r="J208" s="61"/>
      <c r="K208" s="61"/>
      <c r="L208" s="61"/>
      <c r="M208" s="61"/>
      <c r="N208" s="82"/>
      <c r="X208" s="121" t="s">
        <v>245</v>
      </c>
      <c r="Y208" s="121" t="s">
        <v>245</v>
      </c>
      <c r="Z208" s="121" t="str">
        <f t="shared" si="16"/>
        <v>LL</v>
      </c>
      <c r="AA208" s="75" t="s">
        <v>292</v>
      </c>
      <c r="AB208" s="75" t="s">
        <v>265</v>
      </c>
      <c r="AC208" s="76" t="str">
        <f t="shared" si="17"/>
        <v>LL$1321</v>
      </c>
      <c r="AD208" s="69" t="str">
        <f t="shared" si="18"/>
        <v>=Consolidated!LL$1321</v>
      </c>
      <c r="AE208" s="122" t="s">
        <v>394</v>
      </c>
      <c r="AG208" s="67">
        <v>4</v>
      </c>
    </row>
    <row r="209" spans="1:33" ht="28.8" outlineLevel="1">
      <c r="A209" s="83"/>
      <c r="B209" s="84"/>
      <c r="C209" s="71" t="s">
        <v>239</v>
      </c>
      <c r="D209" s="107">
        <v>2013</v>
      </c>
      <c r="E209" s="107">
        <v>2014</v>
      </c>
      <c r="F209" s="107">
        <v>2015</v>
      </c>
      <c r="G209" s="107">
        <v>2016</v>
      </c>
      <c r="H209" s="107" t="s">
        <v>290</v>
      </c>
      <c r="I209" s="107" t="s">
        <v>301</v>
      </c>
      <c r="J209" s="270" t="s">
        <v>282</v>
      </c>
      <c r="K209" s="564" t="s">
        <v>808</v>
      </c>
      <c r="L209" s="61"/>
      <c r="M209" s="61"/>
      <c r="N209" s="82"/>
      <c r="O209" s="61"/>
      <c r="P209" s="61"/>
      <c r="Q209" s="61"/>
      <c r="R209" s="61" t="s">
        <v>303</v>
      </c>
      <c r="S209" s="61" t="s">
        <v>311</v>
      </c>
      <c r="T209" s="61" t="s">
        <v>319</v>
      </c>
      <c r="U209" s="61" t="s">
        <v>327</v>
      </c>
      <c r="V209" s="67"/>
      <c r="X209" s="121" t="s">
        <v>245</v>
      </c>
      <c r="Y209" s="121" t="s">
        <v>246</v>
      </c>
      <c r="Z209" s="121" t="str">
        <f t="shared" si="16"/>
        <v>LM</v>
      </c>
      <c r="AA209" s="75" t="s">
        <v>292</v>
      </c>
      <c r="AB209" s="75" t="s">
        <v>265</v>
      </c>
      <c r="AC209" s="76" t="str">
        <f t="shared" si="17"/>
        <v>LM$1321</v>
      </c>
      <c r="AD209" s="69" t="str">
        <f t="shared" si="18"/>
        <v>=Consolidated!LM$1321</v>
      </c>
      <c r="AE209" s="122" t="s">
        <v>395</v>
      </c>
      <c r="AG209" s="67">
        <v>5</v>
      </c>
    </row>
    <row r="210" spans="1:33" outlineLevel="1">
      <c r="A210" s="81">
        <v>1</v>
      </c>
      <c r="B210" s="61"/>
      <c r="C210" s="721" t="s">
        <v>302</v>
      </c>
      <c r="D210" s="134">
        <f t="shared" ref="D210:I210" si="19">SUM(D$225:D$225)</f>
        <v>0</v>
      </c>
      <c r="E210" s="134">
        <f t="shared" si="19"/>
        <v>0</v>
      </c>
      <c r="F210" s="134">
        <f t="shared" si="19"/>
        <v>0</v>
      </c>
      <c r="G210" s="134">
        <f t="shared" si="19"/>
        <v>0</v>
      </c>
      <c r="H210" s="134">
        <f t="shared" si="19"/>
        <v>0</v>
      </c>
      <c r="I210" s="134">
        <f t="shared" si="19"/>
        <v>0</v>
      </c>
      <c r="J210" s="563">
        <f>SUM(J$225)</f>
        <v>0</v>
      </c>
      <c r="K210" s="565" t="str">
        <f>"Others - PhP "&amp;ROUND(J210/1000000,0) &amp;" B"</f>
        <v>Others - PhP 0 B</v>
      </c>
      <c r="L210" s="252" t="e">
        <f>J210/$J$214</f>
        <v>#DIV/0!</v>
      </c>
      <c r="M210" s="252"/>
      <c r="N210" s="249"/>
      <c r="P210" s="92"/>
      <c r="Q210" s="61"/>
      <c r="R210" s="61" t="s">
        <v>309</v>
      </c>
      <c r="S210" s="61" t="s">
        <v>317</v>
      </c>
      <c r="T210" s="61" t="s">
        <v>325</v>
      </c>
      <c r="U210" s="67" t="s">
        <v>333</v>
      </c>
      <c r="V210" s="67"/>
      <c r="X210" s="121" t="s">
        <v>245</v>
      </c>
      <c r="Y210" s="121" t="s">
        <v>252</v>
      </c>
      <c r="Z210" s="121" t="str">
        <f t="shared" si="16"/>
        <v>LS</v>
      </c>
      <c r="AA210" s="75" t="s">
        <v>292</v>
      </c>
      <c r="AB210" s="75" t="s">
        <v>265</v>
      </c>
      <c r="AC210" s="76" t="str">
        <f t="shared" si="17"/>
        <v>LS$1321</v>
      </c>
      <c r="AD210" s="69" t="str">
        <f t="shared" si="18"/>
        <v>=Consolidated!LS$1321</v>
      </c>
      <c r="AE210" s="122" t="s">
        <v>401</v>
      </c>
      <c r="AG210" s="67">
        <v>4</v>
      </c>
    </row>
    <row r="211" spans="1:33" outlineLevel="1">
      <c r="A211" s="81">
        <v>2</v>
      </c>
      <c r="B211" s="61"/>
      <c r="C211" s="51" t="s">
        <v>24</v>
      </c>
      <c r="D211" s="112">
        <f>'CIIP 2016 Revised Format'!EO$24</f>
        <v>0</v>
      </c>
      <c r="E211" s="112">
        <f>'CIIP 2016 Revised Format'!EX$24</f>
        <v>0</v>
      </c>
      <c r="F211" s="112">
        <f>'CIIP 2016 Revised Format'!FG$24</f>
        <v>0</v>
      </c>
      <c r="G211" s="112">
        <f>'CIIP 2016 Revised Format'!FP$24</f>
        <v>0</v>
      </c>
      <c r="H211" s="112">
        <f>'CIIP 2016 Revised Format'!GH$24</f>
        <v>0</v>
      </c>
      <c r="I211" s="112">
        <f>'CIIP 2016 Revised Format'!HI$24</f>
        <v>0</v>
      </c>
      <c r="J211" s="128">
        <f>'CIIP 2016 Revised Format'!HR$24</f>
        <v>0</v>
      </c>
      <c r="K211" s="566" t="str">
        <f>"Private - PhP "&amp;ROUND(J211/1000000,0) &amp;" B"</f>
        <v>Private - PhP 0 B</v>
      </c>
      <c r="L211" s="252" t="e">
        <f>J211/$J$214</f>
        <v>#DIV/0!</v>
      </c>
      <c r="M211" s="252"/>
      <c r="N211" s="249"/>
      <c r="P211" s="92"/>
      <c r="Q211" s="61"/>
      <c r="R211" s="61" t="s">
        <v>310</v>
      </c>
      <c r="S211" s="61" t="s">
        <v>318</v>
      </c>
      <c r="T211" s="67" t="s">
        <v>326</v>
      </c>
      <c r="U211" s="67" t="s">
        <v>334</v>
      </c>
      <c r="V211" s="67"/>
      <c r="X211" s="121" t="s">
        <v>245</v>
      </c>
      <c r="Y211" s="121" t="s">
        <v>253</v>
      </c>
      <c r="Z211" s="121" t="str">
        <f t="shared" si="16"/>
        <v>LT</v>
      </c>
      <c r="AA211" s="75" t="s">
        <v>292</v>
      </c>
      <c r="AB211" s="75" t="s">
        <v>265</v>
      </c>
      <c r="AC211" s="76" t="str">
        <f t="shared" si="17"/>
        <v>LT$1321</v>
      </c>
      <c r="AD211" s="69" t="str">
        <f t="shared" si="18"/>
        <v>=Consolidated!LT$1321</v>
      </c>
      <c r="AE211" s="122" t="s">
        <v>402</v>
      </c>
      <c r="AG211" s="67">
        <v>5</v>
      </c>
    </row>
    <row r="212" spans="1:33" ht="15" outlineLevel="1" thickBot="1">
      <c r="A212" s="81">
        <v>3</v>
      </c>
      <c r="B212" s="61"/>
      <c r="C212" s="52" t="s">
        <v>864</v>
      </c>
      <c r="D212" s="113">
        <f t="shared" ref="D212:I212" si="20">SUM(D$218:D$223)</f>
        <v>0</v>
      </c>
      <c r="E212" s="113">
        <f t="shared" si="20"/>
        <v>0</v>
      </c>
      <c r="F212" s="113">
        <f t="shared" si="20"/>
        <v>0</v>
      </c>
      <c r="G212" s="113">
        <f t="shared" si="20"/>
        <v>0</v>
      </c>
      <c r="H212" s="113">
        <f t="shared" si="20"/>
        <v>0</v>
      </c>
      <c r="I212" s="113">
        <f t="shared" si="20"/>
        <v>0</v>
      </c>
      <c r="J212" s="427">
        <f>SUM(J$218:J$220)+J221+J222</f>
        <v>0</v>
      </c>
      <c r="K212" s="567" t="str">
        <f>"Government - PhP "&amp;ROUND(J212/1000000,0) &amp;" B"</f>
        <v>Government - PhP 0 B</v>
      </c>
      <c r="L212" s="252" t="e">
        <f>J212/$J$214</f>
        <v>#DIV/0!</v>
      </c>
      <c r="M212" s="252"/>
      <c r="N212" s="249"/>
      <c r="P212" s="92"/>
      <c r="Q212" s="61"/>
      <c r="R212" s="69"/>
      <c r="S212" s="61"/>
      <c r="U212" s="68"/>
      <c r="V212" s="67"/>
      <c r="X212" s="121" t="s">
        <v>245</v>
      </c>
      <c r="Y212" s="121" t="s">
        <v>254</v>
      </c>
      <c r="Z212" s="121" t="str">
        <f t="shared" si="16"/>
        <v>LU</v>
      </c>
      <c r="AA212" s="75" t="s">
        <v>292</v>
      </c>
      <c r="AB212" s="75" t="s">
        <v>265</v>
      </c>
      <c r="AC212" s="76" t="str">
        <f t="shared" si="17"/>
        <v>LU$1321</v>
      </c>
      <c r="AD212" s="69" t="str">
        <f t="shared" si="18"/>
        <v>=Consolidated!LU$1321</v>
      </c>
      <c r="AE212" s="122" t="s">
        <v>403</v>
      </c>
      <c r="AG212" s="67">
        <v>6</v>
      </c>
    </row>
    <row r="213" spans="1:33" ht="6.6" customHeight="1" outlineLevel="1" thickBot="1">
      <c r="A213" s="81"/>
      <c r="B213" s="61"/>
      <c r="C213" s="61"/>
      <c r="D213" s="63"/>
      <c r="E213" s="135"/>
      <c r="F213" s="135"/>
      <c r="G213" s="135"/>
      <c r="H213" s="135"/>
      <c r="I213" s="135"/>
      <c r="J213" s="63"/>
      <c r="K213" s="61"/>
      <c r="L213" s="252"/>
      <c r="M213" s="252"/>
      <c r="N213" s="249"/>
      <c r="P213" s="92"/>
      <c r="Q213" s="61"/>
      <c r="R213" s="69"/>
      <c r="S213" s="61"/>
      <c r="U213" s="68"/>
      <c r="V213" s="67"/>
      <c r="X213" s="121"/>
      <c r="Y213" s="121"/>
      <c r="Z213" s="121"/>
      <c r="AA213" s="75"/>
      <c r="AB213" s="75"/>
      <c r="AC213" s="76"/>
      <c r="AD213" s="69"/>
      <c r="AE213" s="122"/>
    </row>
    <row r="214" spans="1:33" ht="15" outlineLevel="1" thickBot="1">
      <c r="A214" s="81"/>
      <c r="B214" s="61"/>
      <c r="C214" s="54" t="s">
        <v>202</v>
      </c>
      <c r="D214" s="114">
        <f t="shared" ref="D214:J214" si="21">SUM(D210:D212)</f>
        <v>0</v>
      </c>
      <c r="E214" s="114">
        <f t="shared" si="21"/>
        <v>0</v>
      </c>
      <c r="F214" s="114">
        <f t="shared" si="21"/>
        <v>0</v>
      </c>
      <c r="G214" s="114">
        <f t="shared" si="21"/>
        <v>0</v>
      </c>
      <c r="H214" s="114">
        <f t="shared" si="21"/>
        <v>0</v>
      </c>
      <c r="I214" s="114">
        <f t="shared" si="21"/>
        <v>0</v>
      </c>
      <c r="J214" s="64">
        <f t="shared" si="21"/>
        <v>0</v>
      </c>
      <c r="K214" s="61"/>
      <c r="L214" s="253" t="e">
        <f>SUM(L210:L212)</f>
        <v>#DIV/0!</v>
      </c>
      <c r="M214" s="253"/>
      <c r="N214" s="250"/>
      <c r="O214" s="61"/>
      <c r="P214" s="61"/>
      <c r="Q214" s="61"/>
      <c r="R214" s="61"/>
      <c r="S214" s="61"/>
      <c r="U214" s="68"/>
      <c r="V214" s="67"/>
      <c r="X214" s="121" t="s">
        <v>245</v>
      </c>
      <c r="Y214" s="121" t="s">
        <v>291</v>
      </c>
      <c r="Z214" s="121" t="str">
        <f>CONCATENATE(X214,Y214)</f>
        <v>LW</v>
      </c>
      <c r="AA214" s="75" t="s">
        <v>292</v>
      </c>
      <c r="AB214" s="75" t="s">
        <v>265</v>
      </c>
      <c r="AC214" s="76" t="str">
        <f>CONCATENATE(Z214,AA214)</f>
        <v>LW$1321</v>
      </c>
      <c r="AD214" s="69" t="str">
        <f>CONCATENATE(AB214,AC214)</f>
        <v>=Consolidated!LW$1321</v>
      </c>
      <c r="AE214" s="122" t="s">
        <v>405</v>
      </c>
      <c r="AG214" s="67">
        <v>1</v>
      </c>
    </row>
    <row r="215" spans="1:33" outlineLevel="1">
      <c r="A215" s="81"/>
      <c r="B215" s="61"/>
      <c r="C215" s="61"/>
      <c r="D215" s="63"/>
      <c r="E215" s="135"/>
      <c r="F215" s="135"/>
      <c r="G215" s="135"/>
      <c r="H215" s="135"/>
      <c r="I215" s="135"/>
      <c r="J215" s="63"/>
      <c r="K215" s="61"/>
      <c r="L215" s="252"/>
      <c r="M215" s="252"/>
      <c r="N215" s="249"/>
      <c r="P215" s="92"/>
      <c r="Q215" s="61"/>
      <c r="R215" s="69"/>
      <c r="S215" s="61"/>
      <c r="U215" s="68"/>
      <c r="V215" s="67"/>
      <c r="X215" s="121"/>
      <c r="Y215" s="121"/>
      <c r="Z215" s="121"/>
      <c r="AA215" s="75"/>
      <c r="AB215" s="75"/>
      <c r="AC215" s="76"/>
      <c r="AD215" s="69"/>
      <c r="AE215" s="122"/>
    </row>
    <row r="216" spans="1:33" ht="15" outlineLevel="1" thickBot="1">
      <c r="A216" s="81"/>
      <c r="B216" s="61"/>
      <c r="C216" s="61"/>
      <c r="D216" s="63"/>
      <c r="E216" s="135"/>
      <c r="F216" s="135"/>
      <c r="G216" s="135"/>
      <c r="H216" s="135"/>
      <c r="I216" s="135"/>
      <c r="J216" s="63"/>
      <c r="K216" s="61"/>
      <c r="L216" s="252"/>
      <c r="M216" s="252"/>
      <c r="N216" s="249"/>
      <c r="P216" s="92"/>
      <c r="Q216" s="61"/>
      <c r="R216" s="69"/>
      <c r="S216" s="61"/>
      <c r="U216" s="68"/>
      <c r="V216" s="67"/>
      <c r="X216" s="121"/>
      <c r="Y216" s="121"/>
      <c r="Z216" s="121"/>
      <c r="AA216" s="75"/>
      <c r="AB216" s="75"/>
      <c r="AC216" s="76"/>
      <c r="AD216" s="69"/>
      <c r="AE216" s="122"/>
    </row>
    <row r="217" spans="1:33" ht="15" outlineLevel="1" thickBot="1">
      <c r="A217" s="431"/>
      <c r="B217" s="61"/>
      <c r="C217" s="561" t="s">
        <v>864</v>
      </c>
      <c r="D217" s="562"/>
      <c r="E217" s="562"/>
      <c r="F217" s="562"/>
      <c r="G217" s="562"/>
      <c r="H217" s="562"/>
      <c r="I217" s="562"/>
      <c r="J217" s="722">
        <f>SUM(J218:J223)</f>
        <v>0</v>
      </c>
      <c r="K217" s="61"/>
      <c r="L217" s="252"/>
      <c r="M217" s="252"/>
      <c r="N217" s="249"/>
      <c r="P217" s="92"/>
      <c r="Q217" s="61"/>
      <c r="R217" s="69"/>
      <c r="S217" s="61"/>
      <c r="U217" s="68"/>
      <c r="V217" s="67"/>
      <c r="X217" s="121"/>
      <c r="Y217" s="121"/>
      <c r="Z217" s="121"/>
      <c r="AA217" s="75"/>
      <c r="AB217" s="75"/>
      <c r="AC217" s="76"/>
      <c r="AD217" s="69"/>
      <c r="AE217" s="122"/>
    </row>
    <row r="218" spans="1:33" outlineLevel="1">
      <c r="A218" s="431"/>
      <c r="B218" s="61"/>
      <c r="C218" s="428" t="s">
        <v>23</v>
      </c>
      <c r="D218" s="429">
        <f>'CIIP 2016 Revised Format'!EN$24</f>
        <v>0</v>
      </c>
      <c r="E218" s="429">
        <f>'CIIP 2016 Revised Format'!EW$24</f>
        <v>0</v>
      </c>
      <c r="F218" s="429">
        <f>'CIIP 2016 Revised Format'!FF$24</f>
        <v>0</v>
      </c>
      <c r="G218" s="429">
        <f>'CIIP 2016 Revised Format'!FO$24</f>
        <v>0</v>
      </c>
      <c r="H218" s="429">
        <f>'CIIP 2016 Revised Format'!GG$24</f>
        <v>0</v>
      </c>
      <c r="I218" s="429">
        <f>'CIIP 2016 Revised Format'!HH$24</f>
        <v>0</v>
      </c>
      <c r="J218" s="430">
        <f>'CIIP 2016 Revised Format'!HQ$24</f>
        <v>0</v>
      </c>
      <c r="K218" s="61" t="str">
        <f>"Grant - PhP "&amp;ROUND(J218/1000000,0) &amp;" B"</f>
        <v>Grant - PhP 0 B</v>
      </c>
      <c r="L218" s="252" t="e">
        <f t="shared" ref="L218:L223" si="22">J218/$J$214</f>
        <v>#DIV/0!</v>
      </c>
      <c r="M218" s="856" t="e">
        <f>SUM(L218:L219)/L212</f>
        <v>#DIV/0!</v>
      </c>
      <c r="N218" s="249"/>
      <c r="P218" s="92"/>
      <c r="Q218" s="61"/>
      <c r="R218" s="61" t="s">
        <v>307</v>
      </c>
      <c r="S218" s="61" t="s">
        <v>315</v>
      </c>
      <c r="T218" s="61" t="s">
        <v>323</v>
      </c>
      <c r="U218" s="61" t="s">
        <v>331</v>
      </c>
      <c r="X218" s="121" t="s">
        <v>245</v>
      </c>
      <c r="Y218" s="121" t="s">
        <v>250</v>
      </c>
      <c r="Z218" s="121" t="str">
        <f t="shared" ref="Z218:Z223" si="23">CONCATENATE(X218,Y218)</f>
        <v>LQ</v>
      </c>
      <c r="AA218" s="75" t="s">
        <v>292</v>
      </c>
      <c r="AB218" s="75" t="s">
        <v>265</v>
      </c>
      <c r="AC218" s="76" t="str">
        <f t="shared" ref="AC218:AC223" si="24">CONCATENATE(Z218,AA218)</f>
        <v>LQ$1321</v>
      </c>
      <c r="AD218" s="69" t="str">
        <f t="shared" ref="AD218:AD223" si="25">CONCATENATE(AB218,AC218)</f>
        <v>=Consolidated!LQ$1321</v>
      </c>
      <c r="AE218" s="122" t="s">
        <v>399</v>
      </c>
      <c r="AG218" s="67">
        <v>2</v>
      </c>
    </row>
    <row r="219" spans="1:33" outlineLevel="1">
      <c r="A219" s="431"/>
      <c r="B219" s="61"/>
      <c r="C219" s="51" t="s">
        <v>22</v>
      </c>
      <c r="D219" s="112">
        <f>'CIIP 2016 Revised Format'!EM$24</f>
        <v>0</v>
      </c>
      <c r="E219" s="112">
        <f>'CIIP 2016 Revised Format'!EV$24</f>
        <v>0</v>
      </c>
      <c r="F219" s="112">
        <f>'CIIP 2016 Revised Format'!FE$24</f>
        <v>0</v>
      </c>
      <c r="G219" s="112">
        <f>'CIIP 2016 Revised Format'!FN$24</f>
        <v>0</v>
      </c>
      <c r="H219" s="112">
        <f>'CIIP 2016 Revised Format'!GF$24</f>
        <v>0</v>
      </c>
      <c r="I219" s="112">
        <f>'CIIP 2016 Revised Format'!HG$24</f>
        <v>0</v>
      </c>
      <c r="J219" s="56">
        <f>'CIIP 2016 Revised Format'!HP$24</f>
        <v>0</v>
      </c>
      <c r="K219" s="61" t="str">
        <f>"ODA Loan - PhP "&amp;ROUND(J219/1000000,0) &amp;" B"</f>
        <v>ODA Loan - PhP 0 B</v>
      </c>
      <c r="L219" s="252" t="e">
        <f t="shared" si="22"/>
        <v>#DIV/0!</v>
      </c>
      <c r="M219" s="857"/>
      <c r="N219" s="249"/>
      <c r="P219" s="92"/>
      <c r="Q219" s="61"/>
      <c r="R219" s="61" t="s">
        <v>308</v>
      </c>
      <c r="S219" s="61" t="s">
        <v>316</v>
      </c>
      <c r="T219" s="61" t="s">
        <v>324</v>
      </c>
      <c r="U219" s="61" t="s">
        <v>332</v>
      </c>
      <c r="V219" s="67"/>
      <c r="X219" s="121" t="s">
        <v>245</v>
      </c>
      <c r="Y219" s="121" t="s">
        <v>251</v>
      </c>
      <c r="Z219" s="121" t="str">
        <f t="shared" si="23"/>
        <v>LR</v>
      </c>
      <c r="AA219" s="75" t="s">
        <v>292</v>
      </c>
      <c r="AB219" s="75" t="s">
        <v>265</v>
      </c>
      <c r="AC219" s="76" t="str">
        <f t="shared" si="24"/>
        <v>LR$1321</v>
      </c>
      <c r="AD219" s="69" t="str">
        <f t="shared" si="25"/>
        <v>=Consolidated!LR$1321</v>
      </c>
      <c r="AE219" s="122" t="s">
        <v>400</v>
      </c>
      <c r="AG219" s="67">
        <v>3</v>
      </c>
    </row>
    <row r="220" spans="1:33" outlineLevel="1">
      <c r="A220" s="431"/>
      <c r="B220" s="61"/>
      <c r="C220" s="51" t="s">
        <v>27</v>
      </c>
      <c r="D220" s="112">
        <f>'CIIP 2016 Revised Format'!EI$24</f>
        <v>0</v>
      </c>
      <c r="E220" s="112">
        <f>'CIIP 2016 Revised Format'!ER$24</f>
        <v>0</v>
      </c>
      <c r="F220" s="112">
        <f>'CIIP 2016 Revised Format'!FA$24</f>
        <v>0</v>
      </c>
      <c r="G220" s="112">
        <f>'CIIP 2016 Revised Format'!FJ$24</f>
        <v>0</v>
      </c>
      <c r="H220" s="112">
        <f>'CIIP 2016 Revised Format'!GB$24</f>
        <v>0</v>
      </c>
      <c r="I220" s="112">
        <f>'CIIP 2016 Revised Format'!HC$24</f>
        <v>0</v>
      </c>
      <c r="J220" s="56">
        <f>'CIIP 2016 Revised Format'!HL$24</f>
        <v>0</v>
      </c>
      <c r="K220" s="61" t="str">
        <f>"NG-GAA - PhP "&amp;ROUND(J220/1000000,0) &amp;" B"</f>
        <v>NG-GAA - PhP 0 B</v>
      </c>
      <c r="L220" s="252" t="e">
        <f t="shared" si="22"/>
        <v>#DIV/0!</v>
      </c>
      <c r="M220" s="252" t="e">
        <f>L220/$L$212</f>
        <v>#DIV/0!</v>
      </c>
      <c r="N220" s="249"/>
      <c r="P220" s="92"/>
      <c r="Q220" s="61"/>
      <c r="R220" s="61"/>
      <c r="S220" s="61"/>
      <c r="T220" s="61"/>
      <c r="U220" s="61"/>
      <c r="V220" s="67"/>
      <c r="X220" s="121" t="s">
        <v>245</v>
      </c>
      <c r="Y220" s="121" t="s">
        <v>254</v>
      </c>
      <c r="Z220" s="121" t="str">
        <f t="shared" si="23"/>
        <v>LU</v>
      </c>
      <c r="AA220" s="75" t="s">
        <v>292</v>
      </c>
      <c r="AB220" s="75" t="s">
        <v>265</v>
      </c>
      <c r="AC220" s="76" t="str">
        <f t="shared" si="24"/>
        <v>LU$1321</v>
      </c>
      <c r="AD220" s="69" t="str">
        <f t="shared" si="25"/>
        <v>=Consolidated!LU$1321</v>
      </c>
      <c r="AE220" s="122" t="s">
        <v>403</v>
      </c>
      <c r="AG220" s="67">
        <v>6</v>
      </c>
    </row>
    <row r="221" spans="1:33" outlineLevel="1">
      <c r="A221" s="431"/>
      <c r="B221" s="61"/>
      <c r="C221" s="51" t="s">
        <v>19</v>
      </c>
      <c r="D221" s="112">
        <f>'CIIP 2016 Revised Format'!EJ$24</f>
        <v>0</v>
      </c>
      <c r="E221" s="112">
        <f>'CIIP 2016 Revised Format'!ES$24</f>
        <v>0</v>
      </c>
      <c r="F221" s="112">
        <f>'CIIP 2016 Revised Format'!FB$24</f>
        <v>0</v>
      </c>
      <c r="G221" s="112">
        <f>'CIIP 2016 Revised Format'!FK$24</f>
        <v>0</v>
      </c>
      <c r="H221" s="112">
        <f>'CIIP 2016 Revised Format'!GC$24</f>
        <v>0</v>
      </c>
      <c r="I221" s="112">
        <f>'CIIP 2016 Revised Format'!HD$24</f>
        <v>0</v>
      </c>
      <c r="J221" s="56">
        <f>'CIIP 2016 Revised Format'!HM$24</f>
        <v>0</v>
      </c>
      <c r="K221" s="61" t="str">
        <f>"GOCCs - PhP "&amp;ROUND(J221/1000000,0) &amp;" B"</f>
        <v>GOCCs - PhP 0 B</v>
      </c>
      <c r="L221" s="252" t="e">
        <f t="shared" si="22"/>
        <v>#DIV/0!</v>
      </c>
      <c r="M221" s="252" t="e">
        <f>L221/$L$212</f>
        <v>#DIV/0!</v>
      </c>
      <c r="N221" s="249"/>
      <c r="P221" s="92"/>
      <c r="Q221" s="61"/>
      <c r="R221" s="61" t="s">
        <v>306</v>
      </c>
      <c r="S221" s="61" t="s">
        <v>314</v>
      </c>
      <c r="T221" s="61" t="s">
        <v>322</v>
      </c>
      <c r="U221" s="61" t="s">
        <v>330</v>
      </c>
      <c r="V221" s="67"/>
      <c r="X221" s="121" t="s">
        <v>245</v>
      </c>
      <c r="Y221" s="121" t="s">
        <v>249</v>
      </c>
      <c r="Z221" s="121" t="str">
        <f t="shared" si="23"/>
        <v>LP</v>
      </c>
      <c r="AA221" s="75" t="s">
        <v>292</v>
      </c>
      <c r="AB221" s="75" t="s">
        <v>265</v>
      </c>
      <c r="AC221" s="76" t="str">
        <f t="shared" si="24"/>
        <v>LP$1321</v>
      </c>
      <c r="AD221" s="69" t="str">
        <f t="shared" si="25"/>
        <v>=Consolidated!LP$1321</v>
      </c>
      <c r="AE221" s="122" t="s">
        <v>398</v>
      </c>
      <c r="AG221" s="67">
        <v>1</v>
      </c>
    </row>
    <row r="222" spans="1:33" outlineLevel="1">
      <c r="A222" s="431"/>
      <c r="B222" s="61"/>
      <c r="C222" s="51" t="s">
        <v>21</v>
      </c>
      <c r="D222" s="112">
        <f>'CIIP 2016 Revised Format'!EL$24</f>
        <v>0</v>
      </c>
      <c r="E222" s="112">
        <f>'CIIP 2016 Revised Format'!EU$24</f>
        <v>0</v>
      </c>
      <c r="F222" s="112">
        <f>'CIIP 2016 Revised Format'!FD$24</f>
        <v>0</v>
      </c>
      <c r="G222" s="112">
        <f>'CIIP 2016 Revised Format'!FM$24</f>
        <v>0</v>
      </c>
      <c r="H222" s="112">
        <f>'CIIP 2016 Revised Format'!GE$24</f>
        <v>0</v>
      </c>
      <c r="I222" s="112">
        <f>'CIIP 2016 Revised Format'!HF$24</f>
        <v>0</v>
      </c>
      <c r="J222" s="56">
        <f>'CIIP 2016 Revised Format'!HO$24</f>
        <v>0</v>
      </c>
      <c r="K222" s="61" t="str">
        <f>"LGUs - PhP "&amp;ROUND(J222/1000000,0) &amp;" B"</f>
        <v>LGUs - PhP 0 B</v>
      </c>
      <c r="L222" s="252" t="e">
        <f t="shared" si="22"/>
        <v>#DIV/0!</v>
      </c>
      <c r="M222" s="252" t="e">
        <f>L222/$L$212</f>
        <v>#DIV/0!</v>
      </c>
      <c r="N222" s="249"/>
      <c r="P222" s="92"/>
      <c r="Q222" s="61"/>
      <c r="R222" s="61" t="s">
        <v>305</v>
      </c>
      <c r="S222" s="61" t="s">
        <v>313</v>
      </c>
      <c r="T222" s="61" t="s">
        <v>321</v>
      </c>
      <c r="U222" s="61" t="s">
        <v>329</v>
      </c>
      <c r="V222" s="67"/>
      <c r="X222" s="121" t="s">
        <v>245</v>
      </c>
      <c r="Y222" s="121" t="s">
        <v>248</v>
      </c>
      <c r="Z222" s="121" t="str">
        <f t="shared" si="23"/>
        <v>LO</v>
      </c>
      <c r="AA222" s="75" t="s">
        <v>292</v>
      </c>
      <c r="AB222" s="75" t="s">
        <v>265</v>
      </c>
      <c r="AC222" s="76" t="str">
        <f t="shared" si="24"/>
        <v>LO$1321</v>
      </c>
      <c r="AD222" s="69" t="str">
        <f t="shared" si="25"/>
        <v>=Consolidated!LO$1321</v>
      </c>
      <c r="AE222" s="122" t="s">
        <v>397</v>
      </c>
    </row>
    <row r="223" spans="1:33" ht="15" outlineLevel="1" thickBot="1">
      <c r="A223" s="431"/>
      <c r="B223" s="61"/>
      <c r="C223" s="51" t="s">
        <v>20</v>
      </c>
      <c r="D223" s="112">
        <f>'CIIP 2016 Revised Format'!EK$24</f>
        <v>0</v>
      </c>
      <c r="E223" s="112">
        <f>'CIIP 2016 Revised Format'!ET$24</f>
        <v>0</v>
      </c>
      <c r="F223" s="112">
        <f>'CIIP 2016 Revised Format'!FC$24</f>
        <v>0</v>
      </c>
      <c r="G223" s="112">
        <f>'CIIP 2016 Revised Format'!FL$24</f>
        <v>0</v>
      </c>
      <c r="H223" s="112">
        <f>'CIIP 2016 Revised Format'!GD$24</f>
        <v>0</v>
      </c>
      <c r="I223" s="112">
        <f>'CIIP 2016 Revised Format'!HE$24</f>
        <v>0</v>
      </c>
      <c r="J223" s="56">
        <f>'CIIP 2016 Revised Format'!HN$24</f>
        <v>0</v>
      </c>
      <c r="K223" s="61" t="str">
        <f>"GFIs - PhP "&amp;J223/1000000 &amp;" B"</f>
        <v>GFIs - PhP 0 B</v>
      </c>
      <c r="L223" s="252" t="e">
        <f t="shared" si="22"/>
        <v>#DIV/0!</v>
      </c>
      <c r="M223" s="252" t="e">
        <f>L223/$L$212</f>
        <v>#DIV/0!</v>
      </c>
      <c r="N223" s="249"/>
      <c r="P223" s="92"/>
      <c r="Q223" s="61"/>
      <c r="R223" s="61" t="s">
        <v>304</v>
      </c>
      <c r="S223" s="61" t="s">
        <v>312</v>
      </c>
      <c r="T223" s="61" t="s">
        <v>320</v>
      </c>
      <c r="U223" s="61" t="s">
        <v>328</v>
      </c>
      <c r="V223" s="67"/>
      <c r="X223" s="121" t="s">
        <v>245</v>
      </c>
      <c r="Y223" s="121" t="s">
        <v>247</v>
      </c>
      <c r="Z223" s="121" t="str">
        <f t="shared" si="23"/>
        <v>LN</v>
      </c>
      <c r="AA223" s="75" t="s">
        <v>292</v>
      </c>
      <c r="AB223" s="75" t="s">
        <v>265</v>
      </c>
      <c r="AC223" s="76" t="str">
        <f t="shared" si="24"/>
        <v>LN$1321</v>
      </c>
      <c r="AD223" s="69" t="str">
        <f t="shared" si="25"/>
        <v>=Consolidated!LN$1321</v>
      </c>
      <c r="AE223" s="122" t="s">
        <v>396</v>
      </c>
      <c r="AG223" s="67">
        <v>6</v>
      </c>
    </row>
    <row r="224" spans="1:33" ht="15" outlineLevel="1" thickBot="1">
      <c r="A224" s="431"/>
      <c r="B224" s="61"/>
      <c r="C224" s="561" t="s">
        <v>25</v>
      </c>
      <c r="D224" s="562"/>
      <c r="E224" s="562"/>
      <c r="F224" s="562"/>
      <c r="G224" s="562"/>
      <c r="H224" s="562"/>
      <c r="I224" s="562"/>
      <c r="J224" s="722">
        <f>SUM(J225)</f>
        <v>0</v>
      </c>
      <c r="K224" s="61"/>
      <c r="L224" s="252"/>
      <c r="M224" s="252"/>
      <c r="N224" s="249"/>
      <c r="P224" s="92"/>
      <c r="Q224" s="61"/>
      <c r="R224" s="69"/>
      <c r="S224" s="61"/>
      <c r="U224" s="68"/>
      <c r="V224" s="67"/>
      <c r="X224" s="121"/>
      <c r="Y224" s="121"/>
      <c r="Z224" s="121"/>
      <c r="AA224" s="75"/>
      <c r="AB224" s="75"/>
      <c r="AC224" s="76"/>
      <c r="AD224" s="69"/>
      <c r="AE224" s="122"/>
    </row>
    <row r="225" spans="1:33" outlineLevel="1">
      <c r="A225" s="431"/>
      <c r="B225" s="61"/>
      <c r="C225" s="432" t="s">
        <v>302</v>
      </c>
      <c r="D225" s="433">
        <f>'CIIP 2016 Revised Format'!EP$24</f>
        <v>0</v>
      </c>
      <c r="E225" s="433">
        <f>'CIIP 2016 Revised Format'!EY$24</f>
        <v>0</v>
      </c>
      <c r="F225" s="433">
        <f>'CIIP 2016 Revised Format'!FH$24</f>
        <v>0</v>
      </c>
      <c r="G225" s="433">
        <f>'CIIP 2016 Revised Format'!FQ$24</f>
        <v>0</v>
      </c>
      <c r="H225" s="433">
        <f>'CIIP 2016 Revised Format'!GI$24</f>
        <v>0</v>
      </c>
      <c r="I225" s="433">
        <f>'CIIP 2016 Revised Format'!HJ$24</f>
        <v>0</v>
      </c>
      <c r="J225" s="434">
        <f>'CIIP 2016 Revised Format'!HS$24</f>
        <v>0</v>
      </c>
      <c r="K225" s="61" t="str">
        <f>"Others - PhP "&amp;ROUND(J225/1000000,0) &amp;" B"</f>
        <v>Others - PhP 0 B</v>
      </c>
      <c r="L225" s="252" t="e">
        <f>J225/$J$214</f>
        <v>#DIV/0!</v>
      </c>
      <c r="M225" s="252"/>
      <c r="N225" s="249"/>
      <c r="P225" s="92"/>
      <c r="Q225" s="61"/>
      <c r="R225" s="61" t="s">
        <v>309</v>
      </c>
      <c r="S225" s="61" t="s">
        <v>317</v>
      </c>
      <c r="T225" s="61" t="s">
        <v>325</v>
      </c>
      <c r="U225" s="67" t="s">
        <v>333</v>
      </c>
      <c r="V225" s="67"/>
      <c r="X225" s="121" t="s">
        <v>245</v>
      </c>
      <c r="Y225" s="121" t="s">
        <v>252</v>
      </c>
      <c r="Z225" s="121" t="str">
        <f>CONCATENATE(X225,Y225)</f>
        <v>LS</v>
      </c>
      <c r="AA225" s="75" t="s">
        <v>292</v>
      </c>
      <c r="AB225" s="75" t="s">
        <v>265</v>
      </c>
      <c r="AC225" s="76" t="str">
        <f>CONCATENATE(Z225,AA225)</f>
        <v>LS$1321</v>
      </c>
      <c r="AD225" s="69" t="str">
        <f>CONCATENATE(AB225,AC225)</f>
        <v>=Consolidated!LS$1321</v>
      </c>
      <c r="AE225" s="122" t="s">
        <v>401</v>
      </c>
      <c r="AG225" s="67">
        <v>4</v>
      </c>
    </row>
    <row r="226" spans="1:33" outlineLevel="1">
      <c r="A226" s="81"/>
      <c r="B226" s="61"/>
      <c r="C226" s="61"/>
      <c r="D226" s="61"/>
      <c r="E226" s="61"/>
      <c r="F226" s="61"/>
      <c r="G226" s="61"/>
      <c r="H226" s="61"/>
      <c r="I226" s="61"/>
      <c r="J226" s="61"/>
      <c r="K226" s="61"/>
      <c r="L226" s="253"/>
      <c r="M226" s="253"/>
      <c r="N226" s="250"/>
      <c r="O226" s="61"/>
      <c r="P226" s="92"/>
      <c r="Q226" s="61"/>
      <c r="R226" s="61"/>
      <c r="S226" s="61"/>
      <c r="U226" s="68"/>
      <c r="V226" s="67"/>
      <c r="X226" s="121"/>
      <c r="Y226" s="121"/>
      <c r="Z226" s="121"/>
      <c r="AA226" s="75"/>
      <c r="AB226" s="75"/>
      <c r="AC226" s="76"/>
      <c r="AD226" s="69"/>
      <c r="AE226" s="69"/>
    </row>
    <row r="227" spans="1:33" outlineLevel="1">
      <c r="A227" s="81"/>
      <c r="B227" s="61"/>
      <c r="C227" s="84"/>
      <c r="D227" s="124"/>
      <c r="E227" s="124"/>
      <c r="F227" s="124"/>
      <c r="G227" s="124"/>
      <c r="H227" s="124"/>
      <c r="I227" s="124"/>
      <c r="J227" s="125"/>
      <c r="K227" s="61"/>
      <c r="L227" s="660" t="s">
        <v>852</v>
      </c>
      <c r="M227" s="61"/>
      <c r="N227" s="82"/>
      <c r="O227" s="61"/>
      <c r="P227" s="61"/>
      <c r="Q227" s="61"/>
      <c r="R227" s="61"/>
      <c r="S227" s="61"/>
      <c r="U227" s="68"/>
      <c r="V227" s="67"/>
      <c r="X227" s="121"/>
      <c r="Y227" s="121"/>
      <c r="Z227" s="121"/>
      <c r="AA227" s="75"/>
      <c r="AB227" s="75"/>
      <c r="AC227" s="76"/>
      <c r="AD227" s="69"/>
      <c r="AE227" s="122"/>
    </row>
    <row r="228" spans="1:33" outlineLevel="1">
      <c r="A228" s="81"/>
      <c r="B228" s="61"/>
      <c r="C228" s="84"/>
      <c r="D228" s="124"/>
      <c r="E228" s="124"/>
      <c r="F228" s="124"/>
      <c r="G228" s="124"/>
      <c r="H228" s="124"/>
      <c r="I228" s="124"/>
      <c r="J228" s="125"/>
      <c r="K228" s="61"/>
      <c r="L228" s="661" t="e">
        <f>"Government %:        "&amp;ROUND(SUM(L212,L210,L221), 4)</f>
        <v>#DIV/0!</v>
      </c>
      <c r="M228" s="62"/>
      <c r="N228" s="82"/>
      <c r="O228" s="61"/>
      <c r="P228" s="61"/>
      <c r="Q228" s="61"/>
      <c r="R228" s="61"/>
      <c r="S228" s="61"/>
      <c r="U228" s="68"/>
      <c r="V228" s="67"/>
      <c r="X228" s="121"/>
      <c r="Y228" s="121"/>
      <c r="Z228" s="121"/>
      <c r="AA228" s="75"/>
      <c r="AB228" s="75"/>
      <c r="AC228" s="76"/>
      <c r="AD228" s="69"/>
      <c r="AE228" s="122"/>
    </row>
    <row r="229" spans="1:33" outlineLevel="1">
      <c r="A229" s="81"/>
      <c r="B229" s="61"/>
      <c r="C229" s="84"/>
      <c r="D229" s="124"/>
      <c r="E229" s="124"/>
      <c r="F229" s="124"/>
      <c r="G229" s="124"/>
      <c r="H229" s="124"/>
      <c r="I229" s="124"/>
      <c r="J229" s="125"/>
      <c r="K229" s="61"/>
      <c r="L229" s="661" t="str">
        <f>"Government Cost:    "&amp;ROUND(SUM(J212,J210,J221), 2)</f>
        <v>Government Cost:    0</v>
      </c>
      <c r="M229" s="61"/>
      <c r="N229" s="82"/>
      <c r="O229" s="61"/>
      <c r="P229" s="61"/>
      <c r="Q229" s="61"/>
      <c r="R229" s="61"/>
      <c r="S229" s="61"/>
      <c r="U229" s="68"/>
      <c r="V229" s="67"/>
      <c r="X229" s="121"/>
      <c r="Y229" s="121"/>
      <c r="Z229" s="121"/>
      <c r="AA229" s="75"/>
      <c r="AB229" s="75"/>
      <c r="AC229" s="76"/>
      <c r="AD229" s="69"/>
      <c r="AE229" s="122"/>
    </row>
    <row r="230" spans="1:33" outlineLevel="1">
      <c r="A230" s="81"/>
      <c r="B230" s="61"/>
      <c r="C230" s="84"/>
      <c r="D230" s="124"/>
      <c r="E230" s="124"/>
      <c r="F230" s="124"/>
      <c r="G230" s="124"/>
      <c r="H230" s="124"/>
      <c r="I230" s="124"/>
      <c r="J230" s="125"/>
      <c r="K230" s="61"/>
      <c r="L230" s="61"/>
      <c r="M230" s="61"/>
      <c r="N230" s="82"/>
      <c r="O230" s="61"/>
      <c r="P230" s="61"/>
      <c r="Q230" s="61"/>
      <c r="R230" s="61"/>
      <c r="S230" s="61"/>
      <c r="U230" s="68"/>
      <c r="V230" s="67"/>
      <c r="X230" s="121"/>
      <c r="Y230" s="121"/>
      <c r="Z230" s="121"/>
      <c r="AA230" s="75"/>
      <c r="AB230" s="75"/>
      <c r="AC230" s="76"/>
      <c r="AD230" s="69"/>
      <c r="AE230" s="122"/>
    </row>
    <row r="231" spans="1:33" outlineLevel="1">
      <c r="A231" s="81"/>
      <c r="B231" s="61"/>
      <c r="C231" s="84"/>
      <c r="D231" s="124"/>
      <c r="E231" s="124"/>
      <c r="F231" s="124"/>
      <c r="G231" s="124"/>
      <c r="H231" s="124"/>
      <c r="I231" s="124"/>
      <c r="J231" s="125"/>
      <c r="K231" s="61"/>
      <c r="L231" s="61"/>
      <c r="M231" s="61"/>
      <c r="N231" s="82"/>
      <c r="O231" s="61"/>
      <c r="P231" s="67"/>
      <c r="Q231" s="61"/>
      <c r="R231" s="61"/>
      <c r="S231" s="61"/>
      <c r="U231" s="68"/>
      <c r="V231" s="67"/>
      <c r="X231" s="121"/>
      <c r="Y231" s="121"/>
      <c r="Z231" s="121"/>
      <c r="AA231" s="75"/>
      <c r="AB231" s="75"/>
      <c r="AC231" s="76"/>
      <c r="AD231" s="69"/>
      <c r="AE231" s="122"/>
    </row>
    <row r="232" spans="1:33" outlineLevel="1">
      <c r="A232" s="81"/>
      <c r="B232" s="61"/>
      <c r="C232" s="84"/>
      <c r="D232" s="124"/>
      <c r="E232" s="124"/>
      <c r="F232" s="124"/>
      <c r="G232" s="124"/>
      <c r="H232" s="124"/>
      <c r="I232" s="124"/>
      <c r="J232" s="125"/>
      <c r="K232" s="61"/>
      <c r="L232" s="61"/>
      <c r="M232" s="61"/>
      <c r="N232" s="82"/>
      <c r="O232" s="61"/>
      <c r="P232" s="61"/>
      <c r="Q232" s="61"/>
      <c r="R232" s="61"/>
      <c r="S232" s="61"/>
      <c r="U232" s="68"/>
      <c r="V232" s="67"/>
      <c r="X232" s="121"/>
      <c r="Y232" s="121"/>
      <c r="Z232" s="121"/>
      <c r="AA232" s="75"/>
      <c r="AB232" s="75"/>
      <c r="AC232" s="76"/>
      <c r="AD232" s="69"/>
      <c r="AE232" s="122"/>
    </row>
    <row r="233" spans="1:33" outlineLevel="1">
      <c r="A233" s="81"/>
      <c r="B233" s="61"/>
      <c r="C233" s="84"/>
      <c r="D233" s="124"/>
      <c r="E233" s="124"/>
      <c r="F233" s="124"/>
      <c r="G233" s="124"/>
      <c r="H233" s="124"/>
      <c r="I233" s="124"/>
      <c r="J233" s="125"/>
      <c r="K233" s="61"/>
      <c r="L233" s="61"/>
      <c r="M233" s="61"/>
      <c r="N233" s="82"/>
      <c r="O233" s="61"/>
      <c r="P233" s="61"/>
      <c r="Q233" s="61"/>
      <c r="R233" s="61"/>
      <c r="S233" s="61"/>
      <c r="U233" s="68"/>
      <c r="V233" s="67"/>
      <c r="X233" s="121"/>
      <c r="Y233" s="121"/>
      <c r="Z233" s="121"/>
      <c r="AA233" s="75"/>
      <c r="AB233" s="75"/>
      <c r="AC233" s="76"/>
      <c r="AD233" s="69"/>
      <c r="AE233" s="122"/>
    </row>
    <row r="234" spans="1:33" outlineLevel="1">
      <c r="A234" s="81"/>
      <c r="B234" s="61"/>
      <c r="C234" s="84"/>
      <c r="D234" s="124"/>
      <c r="E234" s="124"/>
      <c r="F234" s="124"/>
      <c r="G234" s="124"/>
      <c r="H234" s="124"/>
      <c r="I234" s="124"/>
      <c r="J234" s="125"/>
      <c r="K234" s="61"/>
      <c r="L234" s="61"/>
      <c r="M234" s="61"/>
      <c r="N234" s="82"/>
      <c r="O234" s="61"/>
      <c r="P234" s="61"/>
      <c r="Q234" s="61"/>
      <c r="R234" s="61"/>
      <c r="S234" s="61"/>
      <c r="U234" s="68"/>
      <c r="V234" s="67"/>
      <c r="X234" s="121"/>
      <c r="Y234" s="121"/>
      <c r="Z234" s="121"/>
      <c r="AA234" s="75"/>
      <c r="AB234" s="75"/>
      <c r="AC234" s="76"/>
      <c r="AD234" s="69"/>
      <c r="AE234" s="122"/>
    </row>
    <row r="235" spans="1:33" outlineLevel="1">
      <c r="A235" s="81"/>
      <c r="B235" s="61"/>
      <c r="C235" s="84"/>
      <c r="D235" s="124"/>
      <c r="E235" s="124"/>
      <c r="F235" s="124"/>
      <c r="G235" s="124"/>
      <c r="H235" s="124"/>
      <c r="I235" s="124"/>
      <c r="J235" s="125"/>
      <c r="K235" s="61"/>
      <c r="L235" s="61"/>
      <c r="M235" s="61"/>
      <c r="N235" s="82"/>
      <c r="O235" s="61"/>
      <c r="P235" s="61"/>
      <c r="Q235" s="61"/>
      <c r="R235" s="61"/>
      <c r="S235" s="61"/>
      <c r="U235" s="68"/>
      <c r="V235" s="67"/>
      <c r="X235" s="121"/>
      <c r="Y235" s="121"/>
      <c r="Z235" s="121"/>
      <c r="AA235" s="75"/>
      <c r="AB235" s="75"/>
      <c r="AC235" s="76"/>
      <c r="AD235" s="69"/>
      <c r="AE235" s="122"/>
    </row>
    <row r="236" spans="1:33" outlineLevel="1">
      <c r="A236" s="81"/>
      <c r="B236" s="61"/>
      <c r="C236" s="84"/>
      <c r="D236" s="124"/>
      <c r="E236" s="124"/>
      <c r="F236" s="124"/>
      <c r="G236" s="124"/>
      <c r="H236" s="124"/>
      <c r="I236" s="124"/>
      <c r="J236" s="125"/>
      <c r="K236" s="61"/>
      <c r="L236" s="61"/>
      <c r="M236" s="61"/>
      <c r="N236" s="82"/>
      <c r="O236" s="61"/>
      <c r="P236" s="61"/>
      <c r="Q236" s="61"/>
      <c r="R236" s="61"/>
      <c r="S236" s="61"/>
      <c r="U236" s="68"/>
      <c r="V236" s="67"/>
      <c r="X236" s="121"/>
      <c r="Y236" s="121"/>
      <c r="Z236" s="121"/>
      <c r="AA236" s="75"/>
      <c r="AB236" s="75"/>
      <c r="AC236" s="76"/>
      <c r="AD236" s="69"/>
      <c r="AE236" s="122"/>
    </row>
    <row r="237" spans="1:33" outlineLevel="1">
      <c r="A237" s="81"/>
      <c r="B237" s="61"/>
      <c r="C237" s="84"/>
      <c r="D237" s="124"/>
      <c r="E237" s="124"/>
      <c r="F237" s="124"/>
      <c r="G237" s="124"/>
      <c r="H237" s="124"/>
      <c r="I237" s="124"/>
      <c r="J237" s="125"/>
      <c r="K237" s="61"/>
      <c r="L237" s="61"/>
      <c r="M237" s="61"/>
      <c r="N237" s="82"/>
      <c r="O237" s="61"/>
      <c r="P237" s="61"/>
      <c r="Q237" s="61"/>
      <c r="R237" s="61"/>
      <c r="S237" s="61"/>
      <c r="U237" s="68"/>
      <c r="V237" s="67"/>
      <c r="X237" s="121"/>
      <c r="Y237" s="121"/>
      <c r="Z237" s="121"/>
      <c r="AA237" s="75"/>
      <c r="AB237" s="75"/>
      <c r="AC237" s="76"/>
      <c r="AD237" s="69"/>
      <c r="AE237" s="122"/>
    </row>
    <row r="238" spans="1:33" outlineLevel="1">
      <c r="A238" s="81"/>
      <c r="B238" s="61"/>
      <c r="C238" s="84"/>
      <c r="D238" s="124"/>
      <c r="E238" s="124"/>
      <c r="F238" s="124"/>
      <c r="G238" s="124"/>
      <c r="H238" s="124"/>
      <c r="I238" s="124"/>
      <c r="J238" s="125"/>
      <c r="K238" s="61"/>
      <c r="L238" s="61"/>
      <c r="M238" s="61"/>
      <c r="N238" s="82"/>
      <c r="O238" s="61"/>
      <c r="P238" s="61"/>
      <c r="Q238" s="61"/>
      <c r="R238" s="61"/>
      <c r="S238" s="61"/>
      <c r="U238" s="68"/>
      <c r="V238" s="67"/>
      <c r="X238" s="121"/>
      <c r="Y238" s="121"/>
      <c r="Z238" s="121"/>
      <c r="AA238" s="75"/>
      <c r="AB238" s="75"/>
      <c r="AC238" s="76"/>
      <c r="AD238" s="69"/>
      <c r="AE238" s="122"/>
    </row>
    <row r="239" spans="1:33" outlineLevel="1">
      <c r="A239" s="81"/>
      <c r="B239" s="61"/>
      <c r="C239" s="84"/>
      <c r="D239" s="124"/>
      <c r="E239" s="124"/>
      <c r="F239" s="124"/>
      <c r="G239" s="124"/>
      <c r="H239" s="124"/>
      <c r="I239" s="124"/>
      <c r="J239" s="125"/>
      <c r="K239" s="61"/>
      <c r="L239" s="61"/>
      <c r="M239" s="61"/>
      <c r="N239" s="82"/>
      <c r="O239" s="61"/>
      <c r="P239" s="61"/>
      <c r="Q239" s="61"/>
      <c r="R239" s="61"/>
      <c r="S239" s="61"/>
      <c r="U239" s="68"/>
      <c r="V239" s="67"/>
      <c r="X239" s="121"/>
      <c r="Y239" s="121"/>
      <c r="Z239" s="121"/>
      <c r="AA239" s="75"/>
      <c r="AB239" s="75"/>
      <c r="AC239" s="76"/>
      <c r="AD239" s="69"/>
      <c r="AE239" s="122"/>
    </row>
    <row r="240" spans="1:33" outlineLevel="1">
      <c r="A240" s="81"/>
      <c r="B240" s="61"/>
      <c r="C240" s="84"/>
      <c r="D240" s="124"/>
      <c r="E240" s="124"/>
      <c r="F240" s="124"/>
      <c r="G240" s="124"/>
      <c r="H240" s="124"/>
      <c r="I240" s="124"/>
      <c r="J240" s="125"/>
      <c r="K240" s="61"/>
      <c r="L240" s="61"/>
      <c r="M240" s="61"/>
      <c r="N240" s="82"/>
      <c r="O240" s="61"/>
      <c r="P240" s="61"/>
      <c r="Q240" s="61"/>
      <c r="R240" s="61"/>
      <c r="S240" s="61"/>
      <c r="U240" s="68"/>
      <c r="V240" s="67"/>
      <c r="X240" s="121"/>
      <c r="Y240" s="121"/>
      <c r="Z240" s="121"/>
      <c r="AA240" s="75"/>
      <c r="AB240" s="75"/>
      <c r="AC240" s="76"/>
      <c r="AD240" s="69"/>
      <c r="AE240" s="122"/>
    </row>
    <row r="241" spans="1:33" outlineLevel="1">
      <c r="A241" s="81"/>
      <c r="B241" s="61"/>
      <c r="C241" s="84"/>
      <c r="D241" s="124"/>
      <c r="E241" s="124"/>
      <c r="F241" s="124"/>
      <c r="G241" s="124"/>
      <c r="H241" s="124"/>
      <c r="I241" s="124"/>
      <c r="J241" s="125"/>
      <c r="K241" s="61"/>
      <c r="L241" s="61"/>
      <c r="M241" s="61"/>
      <c r="N241" s="82"/>
      <c r="O241" s="61"/>
      <c r="P241" s="61"/>
      <c r="Q241" s="61"/>
      <c r="R241" s="61"/>
      <c r="S241" s="61"/>
      <c r="U241" s="68"/>
      <c r="V241" s="67"/>
      <c r="X241" s="121"/>
      <c r="Y241" s="121"/>
      <c r="Z241" s="121"/>
      <c r="AA241" s="75"/>
      <c r="AB241" s="75"/>
      <c r="AC241" s="76"/>
      <c r="AD241" s="69"/>
      <c r="AE241" s="122"/>
    </row>
    <row r="242" spans="1:33" outlineLevel="1">
      <c r="A242" s="81"/>
      <c r="B242" s="61"/>
      <c r="C242" s="84"/>
      <c r="D242" s="124"/>
      <c r="E242" s="124"/>
      <c r="F242" s="124"/>
      <c r="G242" s="124"/>
      <c r="H242" s="124"/>
      <c r="I242" s="124"/>
      <c r="J242" s="125"/>
      <c r="K242" s="61"/>
      <c r="L242" s="61"/>
      <c r="M242" s="61"/>
      <c r="N242" s="82"/>
      <c r="O242" s="61"/>
      <c r="P242" s="61"/>
      <c r="Q242" s="61"/>
      <c r="R242" s="61"/>
      <c r="S242" s="61"/>
      <c r="U242" s="68"/>
      <c r="V242" s="67"/>
      <c r="X242" s="121"/>
      <c r="Y242" s="121"/>
      <c r="Z242" s="121"/>
      <c r="AA242" s="75"/>
      <c r="AB242" s="75"/>
      <c r="AC242" s="76"/>
      <c r="AD242" s="69"/>
      <c r="AE242" s="122"/>
    </row>
    <row r="243" spans="1:33" outlineLevel="1">
      <c r="A243" s="81"/>
      <c r="B243" s="61"/>
      <c r="C243" s="84"/>
      <c r="D243" s="124"/>
      <c r="E243" s="124"/>
      <c r="F243" s="124"/>
      <c r="G243" s="124"/>
      <c r="H243" s="124"/>
      <c r="I243" s="124"/>
      <c r="J243" s="125"/>
      <c r="K243" s="61"/>
      <c r="L243" s="61"/>
      <c r="M243" s="61"/>
      <c r="N243" s="82"/>
      <c r="O243" s="61"/>
      <c r="P243" s="61"/>
      <c r="Q243" s="61"/>
      <c r="R243" s="61"/>
      <c r="S243" s="61"/>
      <c r="U243" s="68"/>
      <c r="V243" s="67"/>
      <c r="X243" s="121"/>
      <c r="Y243" s="121"/>
      <c r="Z243" s="121"/>
      <c r="AA243" s="75"/>
      <c r="AB243" s="75"/>
      <c r="AC243" s="76"/>
      <c r="AD243" s="69"/>
      <c r="AE243" s="122"/>
    </row>
    <row r="244" spans="1:33" outlineLevel="1">
      <c r="A244" s="81"/>
      <c r="B244" s="61"/>
      <c r="C244" s="84"/>
      <c r="D244" s="124"/>
      <c r="E244" s="124"/>
      <c r="F244" s="124"/>
      <c r="G244" s="124"/>
      <c r="H244" s="124"/>
      <c r="I244" s="124"/>
      <c r="J244" s="125"/>
      <c r="K244" s="61"/>
      <c r="L244" s="61"/>
      <c r="M244" s="61"/>
      <c r="N244" s="82"/>
      <c r="O244" s="61"/>
      <c r="P244" s="61"/>
      <c r="Q244" s="61"/>
      <c r="R244" s="61"/>
      <c r="S244" s="61"/>
      <c r="U244" s="68"/>
      <c r="V244" s="67"/>
      <c r="X244" s="121"/>
      <c r="Y244" s="121"/>
      <c r="Z244" s="121"/>
      <c r="AA244" s="75"/>
      <c r="AB244" s="75"/>
      <c r="AC244" s="76"/>
      <c r="AD244" s="69"/>
      <c r="AE244" s="122"/>
    </row>
    <row r="245" spans="1:33" outlineLevel="1">
      <c r="A245" s="81"/>
      <c r="B245" s="61"/>
      <c r="C245" s="84"/>
      <c r="D245" s="124"/>
      <c r="E245" s="124"/>
      <c r="F245" s="124"/>
      <c r="G245" s="124"/>
      <c r="H245" s="124"/>
      <c r="I245" s="124"/>
      <c r="J245" s="125"/>
      <c r="K245" s="61"/>
      <c r="L245" s="61"/>
      <c r="M245" s="61"/>
      <c r="N245" s="82"/>
      <c r="O245" s="61"/>
      <c r="P245" s="61"/>
      <c r="Q245" s="61"/>
      <c r="R245" s="61"/>
      <c r="S245" s="61"/>
      <c r="U245" s="68"/>
      <c r="V245" s="67"/>
      <c r="X245" s="121"/>
      <c r="Y245" s="121"/>
      <c r="Z245" s="121"/>
      <c r="AA245" s="75"/>
      <c r="AB245" s="75"/>
      <c r="AC245" s="76"/>
      <c r="AD245" s="69"/>
      <c r="AE245" s="122"/>
    </row>
    <row r="246" spans="1:33" outlineLevel="1">
      <c r="A246" s="81"/>
      <c r="B246" s="61"/>
      <c r="C246" s="84"/>
      <c r="D246" s="124"/>
      <c r="E246" s="124"/>
      <c r="F246" s="124"/>
      <c r="G246" s="124"/>
      <c r="H246" s="124"/>
      <c r="I246" s="124"/>
      <c r="J246" s="125"/>
      <c r="K246" s="61"/>
      <c r="L246" s="61"/>
      <c r="M246" s="61"/>
      <c r="N246" s="82"/>
      <c r="O246" s="61"/>
      <c r="P246" s="61"/>
      <c r="Q246" s="61"/>
      <c r="R246" s="61"/>
      <c r="S246" s="61"/>
      <c r="U246" s="68"/>
      <c r="V246" s="67"/>
      <c r="X246" s="121"/>
      <c r="Y246" s="121"/>
      <c r="Z246" s="121"/>
      <c r="AA246" s="75"/>
      <c r="AB246" s="75"/>
      <c r="AC246" s="76"/>
      <c r="AD246" s="69"/>
      <c r="AE246" s="122"/>
    </row>
    <row r="247" spans="1:33" outlineLevel="1">
      <c r="A247" s="81"/>
      <c r="B247" s="61"/>
      <c r="C247" s="84"/>
      <c r="D247" s="124"/>
      <c r="E247" s="124"/>
      <c r="F247" s="124"/>
      <c r="G247" s="124"/>
      <c r="H247" s="124"/>
      <c r="I247" s="124"/>
      <c r="J247" s="125"/>
      <c r="K247" s="61"/>
      <c r="L247" s="61"/>
      <c r="M247" s="61"/>
      <c r="N247" s="82"/>
      <c r="O247" s="61"/>
      <c r="P247" s="61"/>
      <c r="Q247" s="61"/>
      <c r="R247" s="61"/>
      <c r="S247" s="61"/>
      <c r="U247" s="68"/>
      <c r="V247" s="67"/>
      <c r="X247" s="121"/>
      <c r="Y247" s="121"/>
      <c r="Z247" s="121"/>
      <c r="AA247" s="75"/>
      <c r="AB247" s="75"/>
      <c r="AC247" s="76"/>
      <c r="AD247" s="69"/>
      <c r="AE247" s="122"/>
    </row>
    <row r="248" spans="1:33" outlineLevel="1">
      <c r="A248" s="81"/>
      <c r="B248" s="61"/>
      <c r="C248" s="84"/>
      <c r="D248" s="124"/>
      <c r="E248" s="124"/>
      <c r="F248" s="124"/>
      <c r="G248" s="124"/>
      <c r="H248" s="124"/>
      <c r="I248" s="124"/>
      <c r="J248" s="125"/>
      <c r="K248" s="61"/>
      <c r="L248" s="61"/>
      <c r="M248" s="61"/>
      <c r="N248" s="82"/>
      <c r="O248" s="61"/>
      <c r="P248" s="61"/>
      <c r="Q248" s="61"/>
      <c r="R248" s="61"/>
      <c r="S248" s="61"/>
      <c r="U248" s="68"/>
      <c r="V248" s="67"/>
      <c r="X248" s="121"/>
      <c r="Y248" s="121"/>
      <c r="Z248" s="121"/>
      <c r="AA248" s="75"/>
      <c r="AB248" s="75"/>
      <c r="AC248" s="76"/>
      <c r="AD248" s="69"/>
      <c r="AE248" s="122"/>
    </row>
    <row r="249" spans="1:33" outlineLevel="1">
      <c r="A249" s="81"/>
      <c r="B249" s="61"/>
      <c r="C249" s="84"/>
      <c r="D249" s="124"/>
      <c r="E249" s="124"/>
      <c r="F249" s="124"/>
      <c r="G249" s="124"/>
      <c r="H249" s="124"/>
      <c r="I249" s="124"/>
      <c r="J249" s="125"/>
      <c r="K249" s="61"/>
      <c r="L249" s="61"/>
      <c r="M249" s="61"/>
      <c r="N249" s="82"/>
      <c r="O249" s="61"/>
      <c r="P249" s="61"/>
      <c r="Q249" s="61"/>
      <c r="R249" s="61"/>
      <c r="S249" s="61"/>
      <c r="U249" s="68"/>
      <c r="V249" s="67"/>
      <c r="X249" s="121"/>
      <c r="Y249" s="121"/>
      <c r="Z249" s="121"/>
      <c r="AA249" s="75"/>
      <c r="AB249" s="75"/>
      <c r="AC249" s="76"/>
      <c r="AD249" s="69"/>
      <c r="AE249" s="122"/>
    </row>
    <row r="250" spans="1:33" outlineLevel="1">
      <c r="A250" s="81"/>
      <c r="B250" s="61"/>
      <c r="C250" s="84"/>
      <c r="D250" s="124"/>
      <c r="E250" s="124"/>
      <c r="F250" s="124"/>
      <c r="G250" s="124"/>
      <c r="H250" s="124"/>
      <c r="I250" s="124"/>
      <c r="J250" s="125"/>
      <c r="K250" s="61"/>
      <c r="L250" s="61"/>
      <c r="M250" s="61"/>
      <c r="N250" s="82"/>
      <c r="O250" s="61"/>
      <c r="P250" s="61"/>
      <c r="Q250" s="61"/>
      <c r="R250" s="61"/>
      <c r="S250" s="61"/>
      <c r="U250" s="68"/>
      <c r="V250" s="67"/>
      <c r="X250" s="121"/>
      <c r="Y250" s="121"/>
      <c r="Z250" s="121"/>
      <c r="AA250" s="75"/>
      <c r="AB250" s="75"/>
      <c r="AC250" s="76"/>
      <c r="AD250" s="69"/>
      <c r="AE250" s="122"/>
    </row>
    <row r="251" spans="1:33" outlineLevel="1">
      <c r="A251" s="81"/>
      <c r="B251" s="61"/>
      <c r="C251" s="84"/>
      <c r="D251" s="124"/>
      <c r="E251" s="124"/>
      <c r="F251" s="124"/>
      <c r="G251" s="124"/>
      <c r="H251" s="124"/>
      <c r="I251" s="124"/>
      <c r="J251" s="125"/>
      <c r="K251" s="61"/>
      <c r="L251" s="61"/>
      <c r="M251" s="61"/>
      <c r="N251" s="82"/>
      <c r="O251" s="61"/>
      <c r="P251" s="61"/>
      <c r="Q251" s="61"/>
      <c r="R251" s="61"/>
      <c r="S251" s="61"/>
      <c r="U251" s="68"/>
      <c r="V251" s="67"/>
      <c r="X251" s="121"/>
      <c r="Y251" s="121"/>
      <c r="Z251" s="121"/>
      <c r="AA251" s="75"/>
      <c r="AB251" s="75"/>
      <c r="AC251" s="76"/>
      <c r="AD251" s="69"/>
      <c r="AE251" s="122"/>
    </row>
    <row r="252" spans="1:33" outlineLevel="1">
      <c r="A252" s="81"/>
      <c r="B252" s="61"/>
      <c r="C252" s="84"/>
      <c r="D252" s="124"/>
      <c r="E252" s="124"/>
      <c r="F252" s="124"/>
      <c r="G252" s="124"/>
      <c r="H252" s="124"/>
      <c r="I252" s="124"/>
      <c r="J252" s="125"/>
      <c r="K252" s="61"/>
      <c r="L252" s="61"/>
      <c r="M252" s="61"/>
      <c r="N252" s="82"/>
      <c r="O252" s="61"/>
      <c r="P252" s="61"/>
      <c r="Q252" s="61"/>
      <c r="R252" s="61"/>
      <c r="S252" s="61"/>
      <c r="U252" s="68"/>
      <c r="V252" s="67"/>
      <c r="X252" s="121"/>
      <c r="Y252" s="121"/>
      <c r="Z252" s="121"/>
      <c r="AA252" s="75"/>
      <c r="AB252" s="75"/>
      <c r="AC252" s="76"/>
      <c r="AD252" s="69"/>
      <c r="AE252" s="122"/>
    </row>
    <row r="253" spans="1:33" outlineLevel="1">
      <c r="A253" s="81"/>
      <c r="B253" s="61"/>
      <c r="C253" s="61"/>
      <c r="D253" s="61"/>
      <c r="E253" s="61"/>
      <c r="F253" s="61"/>
      <c r="G253" s="61"/>
      <c r="H253" s="61"/>
      <c r="I253" s="61"/>
      <c r="J253" s="61"/>
      <c r="K253" s="61"/>
      <c r="L253" s="61"/>
      <c r="M253" s="61"/>
      <c r="N253" s="82"/>
      <c r="X253" s="121" t="s">
        <v>245</v>
      </c>
      <c r="Y253" s="121" t="s">
        <v>214</v>
      </c>
      <c r="Z253" s="121" t="str">
        <f>CONCATENATE(X253,Y253)</f>
        <v>LX</v>
      </c>
      <c r="AA253" s="75" t="s">
        <v>292</v>
      </c>
      <c r="AB253" s="75" t="s">
        <v>265</v>
      </c>
      <c r="AC253" s="76" t="str">
        <f>CONCATENATE(Z253,AA253)</f>
        <v>LX$1321</v>
      </c>
      <c r="AD253" s="69" t="str">
        <f>CONCATENATE(AB253,AC253)</f>
        <v>=Consolidated!LX$1321</v>
      </c>
      <c r="AE253" s="122" t="s">
        <v>406</v>
      </c>
      <c r="AG253" s="67">
        <v>2</v>
      </c>
    </row>
    <row r="254" spans="1:33" outlineLevel="1">
      <c r="A254" s="81"/>
      <c r="B254" s="61"/>
      <c r="C254" s="61"/>
      <c r="D254" s="61"/>
      <c r="E254" s="61"/>
      <c r="F254" s="61"/>
      <c r="G254" s="61"/>
      <c r="H254" s="61"/>
      <c r="I254" s="61"/>
      <c r="J254" s="61"/>
      <c r="K254" s="61"/>
      <c r="L254" s="61"/>
      <c r="M254" s="61"/>
      <c r="N254" s="82"/>
      <c r="X254" s="121"/>
      <c r="Y254" s="121"/>
      <c r="Z254" s="121"/>
      <c r="AA254" s="75"/>
      <c r="AB254" s="75"/>
      <c r="AC254" s="76"/>
      <c r="AD254" s="69"/>
      <c r="AE254" s="122"/>
    </row>
    <row r="255" spans="1:33" outlineLevel="1">
      <c r="A255" s="81"/>
      <c r="B255" s="61"/>
      <c r="C255" s="61"/>
      <c r="D255" s="61"/>
      <c r="E255" s="61"/>
      <c r="F255" s="61"/>
      <c r="G255" s="61"/>
      <c r="H255" s="61"/>
      <c r="I255" s="61"/>
      <c r="J255" s="61"/>
      <c r="K255" s="61"/>
      <c r="L255" s="61"/>
      <c r="M255" s="61"/>
      <c r="N255" s="82"/>
      <c r="X255" s="121"/>
      <c r="Y255" s="121"/>
      <c r="Z255" s="121"/>
      <c r="AA255" s="75"/>
      <c r="AB255" s="75"/>
      <c r="AC255" s="76"/>
      <c r="AD255" s="69"/>
      <c r="AE255" s="122"/>
    </row>
    <row r="256" spans="1:33" outlineLevel="1">
      <c r="A256" s="81"/>
      <c r="B256" s="61"/>
      <c r="C256" s="61"/>
      <c r="D256" s="61"/>
      <c r="E256" s="61"/>
      <c r="F256" s="61"/>
      <c r="G256" s="61"/>
      <c r="H256" s="61"/>
      <c r="I256" s="61"/>
      <c r="J256" s="61"/>
      <c r="K256" s="61"/>
      <c r="L256" s="61"/>
      <c r="M256" s="61"/>
      <c r="N256" s="82"/>
      <c r="X256" s="121"/>
      <c r="Y256" s="121"/>
      <c r="Z256" s="121"/>
      <c r="AA256" s="75"/>
      <c r="AB256" s="75"/>
      <c r="AC256" s="76"/>
      <c r="AD256" s="69"/>
      <c r="AE256" s="122"/>
    </row>
    <row r="257" spans="1:34" ht="15" thickBot="1">
      <c r="A257" s="85"/>
      <c r="B257" s="86"/>
      <c r="C257" s="86"/>
      <c r="D257" s="86"/>
      <c r="E257" s="86"/>
      <c r="F257" s="86"/>
      <c r="G257" s="86"/>
      <c r="H257" s="86"/>
      <c r="I257" s="86"/>
      <c r="J257" s="86"/>
      <c r="K257" s="86"/>
      <c r="L257" s="86"/>
      <c r="M257" s="86"/>
      <c r="N257" s="87"/>
      <c r="X257" s="121" t="s">
        <v>245</v>
      </c>
      <c r="Y257" s="121" t="s">
        <v>255</v>
      </c>
      <c r="Z257" s="121" t="str">
        <f>CONCATENATE(X257,Y257)</f>
        <v>LY</v>
      </c>
      <c r="AA257" s="75" t="s">
        <v>292</v>
      </c>
      <c r="AB257" s="75" t="s">
        <v>265</v>
      </c>
      <c r="AC257" s="76" t="str">
        <f>CONCATENATE(Z257,AA257)</f>
        <v>LY$1321</v>
      </c>
      <c r="AD257" s="69" t="str">
        <f>CONCATENATE(AB257,AC257)</f>
        <v>=Consolidated!LY$1321</v>
      </c>
      <c r="AE257" s="122" t="s">
        <v>407</v>
      </c>
      <c r="AG257" s="67">
        <v>3</v>
      </c>
    </row>
    <row r="258" spans="1:34" ht="18">
      <c r="A258" s="77"/>
      <c r="B258" s="78"/>
      <c r="C258" s="79" t="s">
        <v>478</v>
      </c>
      <c r="D258" s="78"/>
      <c r="E258" s="78"/>
      <c r="F258" s="78"/>
      <c r="G258" s="78"/>
      <c r="H258" s="78"/>
      <c r="I258" s="78"/>
      <c r="J258" s="78"/>
      <c r="K258" s="78"/>
      <c r="L258" s="78"/>
      <c r="M258" s="78"/>
      <c r="N258" s="80"/>
      <c r="X258" s="121" t="s">
        <v>245</v>
      </c>
      <c r="Y258" s="121" t="s">
        <v>244</v>
      </c>
      <c r="Z258" s="121" t="str">
        <f>CONCATENATE(X258,Y258)</f>
        <v>LK</v>
      </c>
      <c r="AA258" s="75" t="s">
        <v>292</v>
      </c>
      <c r="AB258" s="75" t="s">
        <v>265</v>
      </c>
      <c r="AC258" s="76" t="str">
        <f>CONCATENATE(Z258,AA258)</f>
        <v>LK$1321</v>
      </c>
      <c r="AD258" s="69" t="str">
        <f>CONCATENATE(AB258,AC258)</f>
        <v>=Consolidated!LK$1321</v>
      </c>
      <c r="AE258" s="122" t="s">
        <v>393</v>
      </c>
      <c r="AG258" s="67">
        <v>3</v>
      </c>
    </row>
    <row r="259" spans="1:34" ht="15" outlineLevel="1" thickBot="1">
      <c r="A259" s="81"/>
      <c r="B259" s="61"/>
      <c r="C259" s="61"/>
      <c r="D259" s="61"/>
      <c r="E259" s="61"/>
      <c r="F259" s="61"/>
      <c r="G259" s="61"/>
      <c r="H259" s="61"/>
      <c r="I259" s="61"/>
      <c r="J259" s="61"/>
      <c r="K259" s="61"/>
      <c r="L259" s="61"/>
      <c r="M259" s="61"/>
      <c r="N259" s="82"/>
      <c r="X259" s="121" t="s">
        <v>245</v>
      </c>
      <c r="Y259" s="121" t="s">
        <v>245</v>
      </c>
      <c r="Z259" s="121" t="str">
        <f>CONCATENATE(X259,Y259)</f>
        <v>LL</v>
      </c>
      <c r="AA259" s="75" t="s">
        <v>292</v>
      </c>
      <c r="AB259" s="75" t="s">
        <v>265</v>
      </c>
      <c r="AC259" s="76" t="str">
        <f>CONCATENATE(Z259,AA259)</f>
        <v>LL$1321</v>
      </c>
      <c r="AD259" s="69" t="str">
        <f>CONCATENATE(AB259,AC259)</f>
        <v>=Consolidated!LL$1321</v>
      </c>
      <c r="AE259" s="122" t="s">
        <v>394</v>
      </c>
      <c r="AG259" s="67">
        <v>4</v>
      </c>
    </row>
    <row r="260" spans="1:34" ht="28.8" outlineLevel="1">
      <c r="A260" s="83"/>
      <c r="B260" s="84"/>
      <c r="C260" s="71" t="s">
        <v>239</v>
      </c>
      <c r="D260" s="107" t="s">
        <v>480</v>
      </c>
      <c r="E260" s="107">
        <v>2013</v>
      </c>
      <c r="F260" s="107">
        <v>2014</v>
      </c>
      <c r="G260" s="107">
        <v>2015</v>
      </c>
      <c r="H260" s="107">
        <v>2016</v>
      </c>
      <c r="I260" s="107" t="s">
        <v>290</v>
      </c>
      <c r="J260" s="107" t="s">
        <v>301</v>
      </c>
      <c r="K260" s="72" t="s">
        <v>282</v>
      </c>
      <c r="L260" s="560" t="s">
        <v>808</v>
      </c>
      <c r="M260" s="61"/>
      <c r="N260" s="82"/>
      <c r="O260" s="82"/>
      <c r="P260" s="61"/>
      <c r="Q260" s="61"/>
      <c r="R260" s="61"/>
      <c r="S260" s="61" t="s">
        <v>303</v>
      </c>
      <c r="T260" s="61" t="s">
        <v>311</v>
      </c>
      <c r="U260" s="61" t="s">
        <v>319</v>
      </c>
      <c r="V260" s="61" t="s">
        <v>327</v>
      </c>
      <c r="X260" s="67"/>
      <c r="Y260" s="121" t="s">
        <v>245</v>
      </c>
      <c r="Z260" s="121" t="s">
        <v>246</v>
      </c>
      <c r="AA260" s="121" t="str">
        <f>CONCATENATE(Y260,Z260)</f>
        <v>LM</v>
      </c>
      <c r="AB260" s="75" t="s">
        <v>292</v>
      </c>
      <c r="AC260" s="75" t="s">
        <v>265</v>
      </c>
      <c r="AD260" s="76" t="str">
        <f t="shared" ref="AD260:AD266" si="26">CONCATENATE(AA260,AB260)</f>
        <v>LM$1321</v>
      </c>
      <c r="AE260" s="69" t="str">
        <f t="shared" ref="AE260:AE266" si="27">CONCATENATE(AC260,AD260)</f>
        <v>=Consolidated!LM$1321</v>
      </c>
      <c r="AF260" s="122" t="s">
        <v>395</v>
      </c>
      <c r="AH260" s="67">
        <v>5</v>
      </c>
    </row>
    <row r="261" spans="1:34" outlineLevel="1">
      <c r="A261" s="81">
        <v>1</v>
      </c>
      <c r="B261" s="61"/>
      <c r="C261" s="51" t="s">
        <v>25</v>
      </c>
      <c r="D261" s="393">
        <f>'CIIP 2016 Revised Format'!CH$25</f>
        <v>0</v>
      </c>
      <c r="E261" s="167"/>
      <c r="F261" s="167"/>
      <c r="G261" s="167"/>
      <c r="H261" s="167"/>
      <c r="I261" s="167"/>
      <c r="J261" s="167"/>
      <c r="K261" s="56">
        <f>'CIIP 2016 Revised Format'!CH$24</f>
        <v>0</v>
      </c>
      <c r="L261" s="56" t="str">
        <f>"Others - PhP "&amp;ROUND(K261/1000000, 2) &amp;" B"</f>
        <v>Others - PhP 0 B</v>
      </c>
      <c r="M261" s="61"/>
      <c r="N261" s="82"/>
      <c r="O261" s="82"/>
      <c r="P261" s="67"/>
      <c r="Q261" s="92"/>
      <c r="R261" s="61"/>
      <c r="S261" s="61" t="s">
        <v>304</v>
      </c>
      <c r="T261" s="61" t="s">
        <v>312</v>
      </c>
      <c r="U261" s="61" t="s">
        <v>320</v>
      </c>
      <c r="V261" s="61" t="s">
        <v>328</v>
      </c>
      <c r="W261" s="61"/>
      <c r="X261" s="61"/>
      <c r="Y261" s="121" t="s">
        <v>245</v>
      </c>
      <c r="Z261" s="121" t="s">
        <v>247</v>
      </c>
      <c r="AA261" s="121" t="str">
        <f>CONCATENATE(Y261,Z261)</f>
        <v>LN</v>
      </c>
      <c r="AB261" s="75" t="s">
        <v>292</v>
      </c>
      <c r="AC261" s="75" t="s">
        <v>265</v>
      </c>
      <c r="AD261" s="76" t="str">
        <f t="shared" si="26"/>
        <v>LN$1321</v>
      </c>
      <c r="AE261" s="69" t="str">
        <f t="shared" si="27"/>
        <v>=Consolidated!LN$1321</v>
      </c>
      <c r="AF261" s="122" t="s">
        <v>396</v>
      </c>
      <c r="AH261" s="67">
        <v>6</v>
      </c>
    </row>
    <row r="262" spans="1:34" outlineLevel="1">
      <c r="A262" s="81">
        <v>2</v>
      </c>
      <c r="B262" s="61"/>
      <c r="C262" s="66" t="s">
        <v>73</v>
      </c>
      <c r="D262" s="394">
        <f>'CIIP 2016 Revised Format'!CG$25</f>
        <v>0</v>
      </c>
      <c r="E262" s="167"/>
      <c r="F262" s="167"/>
      <c r="G262" s="167"/>
      <c r="H262" s="167"/>
      <c r="I262" s="167"/>
      <c r="J262" s="167"/>
      <c r="K262" s="56">
        <f>'CIIP 2016 Revised Format'!CG$24</f>
        <v>0</v>
      </c>
      <c r="L262" s="56" t="str">
        <f>"Governance - PhP "&amp;ROUND(K262/1000000,0) &amp;" B"</f>
        <v>Governance - PhP 0 B</v>
      </c>
      <c r="M262" s="61"/>
      <c r="N262" s="82"/>
      <c r="O262" s="82"/>
      <c r="P262" s="67"/>
      <c r="Q262" s="92"/>
      <c r="R262" s="61"/>
      <c r="S262" s="61" t="s">
        <v>305</v>
      </c>
      <c r="T262" s="61" t="s">
        <v>313</v>
      </c>
      <c r="U262" s="61" t="s">
        <v>321</v>
      </c>
      <c r="V262" s="61" t="s">
        <v>329</v>
      </c>
      <c r="X262" s="67"/>
      <c r="Y262" s="121" t="s">
        <v>245</v>
      </c>
      <c r="Z262" s="121" t="s">
        <v>248</v>
      </c>
      <c r="AA262" s="121" t="str">
        <f>CONCATENATE(Y262,Z262)</f>
        <v>LO</v>
      </c>
      <c r="AB262" s="75" t="s">
        <v>292</v>
      </c>
      <c r="AC262" s="75" t="s">
        <v>265</v>
      </c>
      <c r="AD262" s="76" t="str">
        <f t="shared" si="26"/>
        <v>LO$1321</v>
      </c>
      <c r="AE262" s="69" t="str">
        <f t="shared" si="27"/>
        <v>=Consolidated!LO$1321</v>
      </c>
      <c r="AF262" s="90" t="s">
        <v>397</v>
      </c>
      <c r="AG262" s="61"/>
    </row>
    <row r="263" spans="1:34" outlineLevel="1">
      <c r="A263" s="81">
        <v>3</v>
      </c>
      <c r="B263" s="61"/>
      <c r="C263" s="51" t="s">
        <v>482</v>
      </c>
      <c r="D263" s="393">
        <f>'CIIP 2016 Revised Format'!CD$25</f>
        <v>0</v>
      </c>
      <c r="E263" s="167"/>
      <c r="F263" s="167"/>
      <c r="G263" s="167"/>
      <c r="H263" s="167"/>
      <c r="I263" s="167"/>
      <c r="J263" s="167"/>
      <c r="K263" s="56">
        <f>'CIIP 2016 Revised Format'!CD$24</f>
        <v>0</v>
      </c>
      <c r="L263" s="56" t="str">
        <f>"Safety - PhP "&amp;ROUND(K263/1000000,0) &amp;" B"</f>
        <v>Safety - PhP 0 B</v>
      </c>
      <c r="M263" s="61"/>
      <c r="N263" s="82"/>
      <c r="O263" s="82"/>
      <c r="P263" s="67"/>
      <c r="Q263" s="92"/>
      <c r="R263" s="61"/>
      <c r="S263" s="61" t="s">
        <v>306</v>
      </c>
      <c r="T263" s="61" t="s">
        <v>314</v>
      </c>
      <c r="U263" s="61" t="s">
        <v>322</v>
      </c>
      <c r="V263" s="61" t="s">
        <v>330</v>
      </c>
      <c r="W263" s="69"/>
      <c r="X263" s="67"/>
      <c r="Y263" s="121" t="s">
        <v>245</v>
      </c>
      <c r="Z263" s="121" t="s">
        <v>249</v>
      </c>
      <c r="AA263" s="121" t="str">
        <f>CONCATENATE(Y263,Z263)</f>
        <v>LP</v>
      </c>
      <c r="AB263" s="75" t="s">
        <v>292</v>
      </c>
      <c r="AC263" s="75" t="s">
        <v>265</v>
      </c>
      <c r="AD263" s="76" t="str">
        <f t="shared" si="26"/>
        <v>LP$1321</v>
      </c>
      <c r="AE263" s="69" t="str">
        <f t="shared" si="27"/>
        <v>=Consolidated!LP$1321</v>
      </c>
      <c r="AF263" s="122" t="s">
        <v>398</v>
      </c>
      <c r="AH263" s="67">
        <v>1</v>
      </c>
    </row>
    <row r="264" spans="1:34" outlineLevel="1">
      <c r="A264" s="81">
        <v>4</v>
      </c>
      <c r="B264" s="61"/>
      <c r="C264" s="51" t="s">
        <v>180</v>
      </c>
      <c r="D264" s="393">
        <f>'CIIP 2016 Revised Format'!CF$25</f>
        <v>0</v>
      </c>
      <c r="E264" s="167"/>
      <c r="F264" s="167"/>
      <c r="G264" s="167"/>
      <c r="H264" s="167"/>
      <c r="I264" s="167"/>
      <c r="J264" s="167"/>
      <c r="K264" s="56">
        <f>'CIIP 2016 Revised Format'!CF$24</f>
        <v>0</v>
      </c>
      <c r="L264" s="56" t="str">
        <f>"Environment - PhP "&amp;ROUND(K264/1000000,0) &amp;" B"</f>
        <v>Environment - PhP 0 B</v>
      </c>
      <c r="M264" s="61"/>
      <c r="N264" s="82"/>
      <c r="O264" s="82"/>
      <c r="P264" s="67"/>
      <c r="Q264" s="92"/>
      <c r="R264" s="61"/>
      <c r="S264" s="61" t="s">
        <v>307</v>
      </c>
      <c r="T264" s="61" t="s">
        <v>315</v>
      </c>
      <c r="U264" s="61" t="s">
        <v>323</v>
      </c>
      <c r="V264" s="61" t="s">
        <v>331</v>
      </c>
      <c r="W264" s="69"/>
      <c r="X264" s="67"/>
      <c r="Y264" s="121" t="s">
        <v>245</v>
      </c>
      <c r="Z264" s="121" t="s">
        <v>250</v>
      </c>
      <c r="AA264" s="121" t="str">
        <f>CONCATENATE(Y264,Z264)</f>
        <v>LQ</v>
      </c>
      <c r="AB264" s="75" t="s">
        <v>292</v>
      </c>
      <c r="AC264" s="75" t="s">
        <v>265</v>
      </c>
      <c r="AD264" s="76" t="str">
        <f t="shared" si="26"/>
        <v>LQ$1321</v>
      </c>
      <c r="AE264" s="69" t="str">
        <f t="shared" si="27"/>
        <v>=Consolidated!LQ$1321</v>
      </c>
      <c r="AF264" s="122" t="s">
        <v>399</v>
      </c>
      <c r="AH264" s="67">
        <v>2</v>
      </c>
    </row>
    <row r="265" spans="1:34" outlineLevel="1">
      <c r="A265" s="81">
        <v>5</v>
      </c>
      <c r="B265" s="61"/>
      <c r="C265" s="51" t="s">
        <v>483</v>
      </c>
      <c r="D265" s="233">
        <f>'CIIP 2016 Revised Format'!CE$25</f>
        <v>0</v>
      </c>
      <c r="E265" s="168"/>
      <c r="F265" s="168"/>
      <c r="G265" s="168"/>
      <c r="H265" s="168"/>
      <c r="I265" s="168"/>
      <c r="J265" s="168"/>
      <c r="K265" s="56">
        <f>'CIIP 2016 Revised Format'!CE$24</f>
        <v>0</v>
      </c>
      <c r="L265" s="56" t="str">
        <f>"Basic Services - PhP "&amp;ROUND(K265/1000000,0) &amp;" B"</f>
        <v>Basic Services - PhP 0 B</v>
      </c>
      <c r="M265" s="61"/>
      <c r="N265" s="82"/>
      <c r="O265" s="82"/>
      <c r="P265" s="67"/>
      <c r="Q265" s="92"/>
      <c r="R265" s="61"/>
      <c r="S265" s="61" t="s">
        <v>308</v>
      </c>
      <c r="T265" s="61" t="s">
        <v>316</v>
      </c>
      <c r="U265" s="61" t="s">
        <v>324</v>
      </c>
      <c r="V265" s="61" t="s">
        <v>332</v>
      </c>
      <c r="X265" s="67"/>
      <c r="Y265" s="121" t="s">
        <v>245</v>
      </c>
      <c r="Z265" s="121" t="s">
        <v>251</v>
      </c>
      <c r="AA265" s="121" t="str">
        <f t="shared" ref="Z265:AA268" si="28">CONCATENATE(Y265,Z265)</f>
        <v>LR</v>
      </c>
      <c r="AB265" s="75" t="s">
        <v>292</v>
      </c>
      <c r="AC265" s="75" t="s">
        <v>265</v>
      </c>
      <c r="AD265" s="76" t="str">
        <f t="shared" si="26"/>
        <v>LR$1321</v>
      </c>
      <c r="AE265" s="69" t="str">
        <f t="shared" si="27"/>
        <v>=Consolidated!LR$1321</v>
      </c>
      <c r="AF265" s="122" t="s">
        <v>400</v>
      </c>
      <c r="AH265" s="67">
        <v>3</v>
      </c>
    </row>
    <row r="266" spans="1:34" outlineLevel="1">
      <c r="A266" s="81">
        <v>6</v>
      </c>
      <c r="B266" s="61"/>
      <c r="C266" s="51" t="s">
        <v>481</v>
      </c>
      <c r="D266" s="233">
        <f>'CIIP 2016 Revised Format'!CC$25</f>
        <v>0</v>
      </c>
      <c r="E266" s="168"/>
      <c r="F266" s="168"/>
      <c r="G266" s="168"/>
      <c r="H266" s="168"/>
      <c r="I266" s="168"/>
      <c r="J266" s="168"/>
      <c r="K266" s="56">
        <f>'CIIP 2016 Revised Format'!CC$24</f>
        <v>0</v>
      </c>
      <c r="L266" s="56" t="str">
        <f>"Competitiveness - PhP "&amp;ROUND(K266/1000000,0) &amp;" B"</f>
        <v>Competitiveness - PhP 0 B</v>
      </c>
      <c r="M266" s="61"/>
      <c r="N266" s="82"/>
      <c r="O266" s="82"/>
      <c r="P266" s="67"/>
      <c r="Q266" s="92"/>
      <c r="R266" s="61"/>
      <c r="S266" s="61" t="s">
        <v>309</v>
      </c>
      <c r="T266" s="61" t="s">
        <v>317</v>
      </c>
      <c r="U266" s="61" t="s">
        <v>325</v>
      </c>
      <c r="V266" s="67" t="s">
        <v>333</v>
      </c>
      <c r="X266" s="67"/>
      <c r="Y266" s="121" t="s">
        <v>245</v>
      </c>
      <c r="Z266" s="121" t="s">
        <v>252</v>
      </c>
      <c r="AA266" s="121" t="str">
        <f t="shared" si="28"/>
        <v>LS</v>
      </c>
      <c r="AB266" s="75" t="s">
        <v>292</v>
      </c>
      <c r="AC266" s="75" t="s">
        <v>265</v>
      </c>
      <c r="AD266" s="76" t="str">
        <f t="shared" si="26"/>
        <v>LS$1321</v>
      </c>
      <c r="AE266" s="69" t="str">
        <f t="shared" si="27"/>
        <v>=Consolidated!LS$1321</v>
      </c>
      <c r="AF266" s="122" t="s">
        <v>401</v>
      </c>
      <c r="AH266" s="67">
        <v>4</v>
      </c>
    </row>
    <row r="267" spans="1:34" ht="15" outlineLevel="1" thickBot="1">
      <c r="A267" s="81"/>
      <c r="B267" s="61"/>
      <c r="C267" s="61"/>
      <c r="D267" s="395"/>
      <c r="E267" s="61"/>
      <c r="F267" s="61"/>
      <c r="G267" s="61"/>
      <c r="H267" s="61"/>
      <c r="I267" s="61"/>
      <c r="J267" s="61"/>
      <c r="K267" s="61"/>
      <c r="L267" s="61"/>
      <c r="M267" s="61"/>
      <c r="N267" s="82"/>
      <c r="O267" s="61"/>
      <c r="P267" s="92"/>
      <c r="Q267" s="61"/>
      <c r="R267" s="61"/>
      <c r="S267" s="61"/>
      <c r="U267" s="68"/>
      <c r="V267" s="67"/>
      <c r="X267" s="121" t="s">
        <v>245</v>
      </c>
      <c r="Y267" s="121" t="s">
        <v>209</v>
      </c>
      <c r="Z267" s="121" t="str">
        <f t="shared" si="28"/>
        <v>LV</v>
      </c>
      <c r="AA267" s="75" t="s">
        <v>292</v>
      </c>
      <c r="AB267" s="75" t="s">
        <v>265</v>
      </c>
      <c r="AC267" s="76" t="str">
        <f>CONCATENATE(Z267,AA267)</f>
        <v>LV$1321</v>
      </c>
      <c r="AD267" s="69" t="str">
        <f>CONCATENATE(AB267,AC267)</f>
        <v>=Consolidated!LV$1321</v>
      </c>
      <c r="AE267" s="69" t="s">
        <v>404</v>
      </c>
    </row>
    <row r="268" spans="1:34" ht="15" outlineLevel="1" thickBot="1">
      <c r="A268" s="81"/>
      <c r="B268" s="61"/>
      <c r="C268" s="54" t="s">
        <v>202</v>
      </c>
      <c r="D268" s="396">
        <f t="shared" ref="D268:K268" si="29">SUM(D261:D266)</f>
        <v>0</v>
      </c>
      <c r="E268" s="114">
        <f t="shared" si="29"/>
        <v>0</v>
      </c>
      <c r="F268" s="114">
        <f t="shared" si="29"/>
        <v>0</v>
      </c>
      <c r="G268" s="114">
        <f t="shared" si="29"/>
        <v>0</v>
      </c>
      <c r="H268" s="114">
        <f t="shared" si="29"/>
        <v>0</v>
      </c>
      <c r="I268" s="114">
        <f t="shared" si="29"/>
        <v>0</v>
      </c>
      <c r="J268" s="114">
        <f t="shared" si="29"/>
        <v>0</v>
      </c>
      <c r="K268" s="64">
        <f t="shared" si="29"/>
        <v>0</v>
      </c>
      <c r="L268" s="61"/>
      <c r="M268" s="61"/>
      <c r="N268" s="82"/>
      <c r="O268" s="82"/>
      <c r="P268" s="61"/>
      <c r="Q268" s="61"/>
      <c r="R268" s="61"/>
      <c r="S268" s="61"/>
      <c r="T268" s="61"/>
      <c r="V268" s="68"/>
      <c r="X268" s="67"/>
      <c r="Y268" s="121" t="s">
        <v>245</v>
      </c>
      <c r="Z268" s="121" t="s">
        <v>291</v>
      </c>
      <c r="AA268" s="121" t="str">
        <f t="shared" si="28"/>
        <v>LW</v>
      </c>
      <c r="AB268" s="75" t="s">
        <v>292</v>
      </c>
      <c r="AC268" s="75" t="s">
        <v>265</v>
      </c>
      <c r="AD268" s="76" t="str">
        <f>CONCATENATE(AA268,AB268)</f>
        <v>LW$1321</v>
      </c>
      <c r="AE268" s="69" t="str">
        <f>CONCATENATE(AC268,AD268)</f>
        <v>=Consolidated!LW$1321</v>
      </c>
      <c r="AF268" s="122" t="s">
        <v>405</v>
      </c>
      <c r="AH268" s="67">
        <v>1</v>
      </c>
    </row>
    <row r="269" spans="1:34" outlineLevel="1">
      <c r="A269" s="81"/>
      <c r="B269" s="61"/>
      <c r="C269" s="84"/>
      <c r="D269" s="124"/>
      <c r="E269" s="124"/>
      <c r="F269" s="124"/>
      <c r="G269" s="124"/>
      <c r="H269" s="124"/>
      <c r="I269" s="124"/>
      <c r="J269" s="125"/>
      <c r="K269" s="61"/>
      <c r="L269" s="61"/>
      <c r="M269" s="61"/>
      <c r="N269" s="82"/>
      <c r="O269" s="61"/>
      <c r="P269" s="61"/>
      <c r="Q269" s="61"/>
      <c r="R269" s="61"/>
      <c r="S269" s="61"/>
      <c r="U269" s="68"/>
      <c r="V269" s="67"/>
      <c r="X269" s="121"/>
      <c r="Y269" s="121"/>
      <c r="Z269" s="121"/>
      <c r="AA269" s="75"/>
      <c r="AB269" s="75"/>
      <c r="AC269" s="76"/>
      <c r="AD269" s="69"/>
      <c r="AE269" s="122"/>
    </row>
    <row r="270" spans="1:34" outlineLevel="1">
      <c r="A270" s="81"/>
      <c r="B270" s="61"/>
      <c r="C270" s="84"/>
      <c r="D270" s="124"/>
      <c r="E270" s="124"/>
      <c r="F270" s="124"/>
      <c r="G270" s="124"/>
      <c r="H270" s="124"/>
      <c r="I270" s="124"/>
      <c r="J270" s="125"/>
      <c r="K270" s="61"/>
      <c r="L270" s="61"/>
      <c r="M270" s="61"/>
      <c r="N270" s="82"/>
      <c r="O270" s="61"/>
      <c r="P270" s="61"/>
      <c r="Q270" s="61"/>
      <c r="R270" s="61"/>
      <c r="S270" s="61"/>
      <c r="U270" s="68"/>
      <c r="V270" s="67"/>
      <c r="X270" s="121"/>
      <c r="Y270" s="121"/>
      <c r="Z270" s="121"/>
      <c r="AA270" s="75"/>
      <c r="AB270" s="75"/>
      <c r="AC270" s="76"/>
      <c r="AD270" s="69"/>
      <c r="AE270" s="122"/>
    </row>
    <row r="271" spans="1:34" outlineLevel="1">
      <c r="A271" s="81"/>
      <c r="B271" s="61"/>
      <c r="C271" s="84"/>
      <c r="D271" s="124"/>
      <c r="E271" s="124"/>
      <c r="F271" s="124"/>
      <c r="G271" s="124"/>
      <c r="H271" s="124"/>
      <c r="I271" s="124"/>
      <c r="J271" s="125"/>
      <c r="K271" s="61"/>
      <c r="L271" s="61"/>
      <c r="M271" s="61"/>
      <c r="N271" s="82"/>
      <c r="O271" s="61"/>
      <c r="P271" s="61"/>
      <c r="Q271" s="61"/>
      <c r="R271" s="61"/>
      <c r="S271" s="61"/>
      <c r="U271" s="68"/>
      <c r="V271" s="67"/>
      <c r="X271" s="121"/>
      <c r="Y271" s="121"/>
      <c r="Z271" s="121"/>
      <c r="AA271" s="75"/>
      <c r="AB271" s="75"/>
      <c r="AC271" s="76"/>
      <c r="AD271" s="69"/>
      <c r="AE271" s="122"/>
    </row>
    <row r="272" spans="1:34" outlineLevel="1">
      <c r="A272" s="81"/>
      <c r="B272" s="61"/>
      <c r="C272" s="84"/>
      <c r="D272" s="124"/>
      <c r="E272" s="124"/>
      <c r="F272" s="124"/>
      <c r="G272" s="124"/>
      <c r="H272" s="124"/>
      <c r="I272" s="124"/>
      <c r="J272" s="125"/>
      <c r="K272" s="61"/>
      <c r="L272" s="61"/>
      <c r="M272" s="61"/>
      <c r="N272" s="82"/>
      <c r="O272" s="61"/>
      <c r="P272" s="61"/>
      <c r="Q272" s="61"/>
      <c r="R272" s="61"/>
      <c r="S272" s="61"/>
      <c r="U272" s="68"/>
      <c r="V272" s="67"/>
      <c r="X272" s="121"/>
      <c r="Y272" s="121"/>
      <c r="Z272" s="121"/>
      <c r="AA272" s="75"/>
      <c r="AB272" s="75"/>
      <c r="AC272" s="76"/>
      <c r="AD272" s="69"/>
      <c r="AE272" s="122"/>
    </row>
    <row r="273" spans="1:31" outlineLevel="1">
      <c r="A273" s="81"/>
      <c r="B273" s="61"/>
      <c r="C273" s="84"/>
      <c r="D273" s="124"/>
      <c r="E273" s="124"/>
      <c r="F273" s="124"/>
      <c r="G273" s="124"/>
      <c r="H273" s="124"/>
      <c r="I273" s="124"/>
      <c r="J273" s="125"/>
      <c r="K273" s="61"/>
      <c r="L273" s="61"/>
      <c r="M273" s="61"/>
      <c r="N273" s="82"/>
      <c r="O273" s="61"/>
      <c r="P273" s="67" t="s">
        <v>73</v>
      </c>
      <c r="Q273" s="61" t="s">
        <v>25</v>
      </c>
      <c r="R273" s="61"/>
      <c r="S273" s="61"/>
      <c r="U273" s="68"/>
      <c r="V273" s="67"/>
      <c r="X273" s="121"/>
      <c r="Y273" s="121"/>
      <c r="Z273" s="121"/>
      <c r="AA273" s="75"/>
      <c r="AB273" s="75"/>
      <c r="AC273" s="76"/>
      <c r="AD273" s="69"/>
      <c r="AE273" s="122"/>
    </row>
    <row r="274" spans="1:31" outlineLevel="1">
      <c r="A274" s="81"/>
      <c r="B274" s="61"/>
      <c r="C274" s="84"/>
      <c r="D274" s="124"/>
      <c r="E274" s="124"/>
      <c r="F274" s="124"/>
      <c r="G274" s="124"/>
      <c r="H274" s="124"/>
      <c r="I274" s="124"/>
      <c r="J274" s="125"/>
      <c r="K274" s="61"/>
      <c r="L274" s="61"/>
      <c r="M274" s="61"/>
      <c r="N274" s="82"/>
      <c r="O274" s="61"/>
      <c r="P274" s="61"/>
      <c r="Q274" s="61"/>
      <c r="R274" s="61"/>
      <c r="S274" s="61"/>
      <c r="U274" s="68"/>
      <c r="V274" s="67"/>
      <c r="X274" s="121"/>
      <c r="Y274" s="121"/>
      <c r="Z274" s="121"/>
      <c r="AA274" s="75"/>
      <c r="AB274" s="75"/>
      <c r="AC274" s="76"/>
      <c r="AD274" s="69"/>
      <c r="AE274" s="122"/>
    </row>
    <row r="275" spans="1:31" outlineLevel="1">
      <c r="A275" s="81"/>
      <c r="B275" s="61"/>
      <c r="C275" s="84"/>
      <c r="D275" s="124"/>
      <c r="E275" s="124"/>
      <c r="F275" s="124"/>
      <c r="G275" s="124"/>
      <c r="H275" s="124"/>
      <c r="I275" s="124"/>
      <c r="J275" s="151"/>
      <c r="K275" s="61"/>
      <c r="L275" s="61"/>
      <c r="M275" s="61"/>
      <c r="N275" s="82"/>
      <c r="O275" s="61"/>
      <c r="P275" s="61"/>
      <c r="Q275" s="61"/>
      <c r="R275" s="61"/>
      <c r="S275" s="61"/>
      <c r="U275" s="68"/>
      <c r="V275" s="67"/>
      <c r="X275" s="121"/>
      <c r="Y275" s="121"/>
      <c r="Z275" s="121"/>
      <c r="AA275" s="75"/>
      <c r="AB275" s="75"/>
      <c r="AC275" s="76"/>
      <c r="AD275" s="69"/>
      <c r="AE275" s="122"/>
    </row>
    <row r="276" spans="1:31" outlineLevel="1">
      <c r="A276" s="81"/>
      <c r="B276" s="61"/>
      <c r="C276" s="84"/>
      <c r="D276" s="124"/>
      <c r="E276" s="124"/>
      <c r="F276" s="124"/>
      <c r="G276" s="124"/>
      <c r="H276" s="124"/>
      <c r="I276" s="124"/>
      <c r="J276" s="61"/>
      <c r="K276" s="61"/>
      <c r="L276" s="61"/>
      <c r="M276" s="61"/>
      <c r="N276" s="82"/>
      <c r="O276" s="61"/>
      <c r="P276" s="61"/>
      <c r="Q276" s="61"/>
      <c r="R276" s="61"/>
      <c r="S276" s="61"/>
      <c r="U276" s="68"/>
      <c r="V276" s="67"/>
      <c r="X276" s="121"/>
      <c r="Y276" s="121"/>
      <c r="Z276" s="121"/>
      <c r="AA276" s="75"/>
      <c r="AB276" s="75"/>
      <c r="AC276" s="76"/>
      <c r="AD276" s="69"/>
      <c r="AE276" s="122"/>
    </row>
    <row r="277" spans="1:31" outlineLevel="1">
      <c r="A277" s="81"/>
      <c r="B277" s="61"/>
      <c r="C277" s="84"/>
      <c r="D277" s="124"/>
      <c r="E277" s="124"/>
      <c r="F277" s="124"/>
      <c r="G277" s="124"/>
      <c r="H277" s="124"/>
      <c r="I277" s="124"/>
      <c r="J277" s="61"/>
      <c r="K277" s="61"/>
      <c r="L277" s="61"/>
      <c r="M277" s="61"/>
      <c r="N277" s="82"/>
      <c r="O277" s="61"/>
      <c r="P277" s="61"/>
      <c r="Q277" s="61"/>
      <c r="R277" s="61"/>
      <c r="S277" s="61"/>
      <c r="U277" s="68"/>
      <c r="V277" s="67"/>
      <c r="X277" s="121"/>
      <c r="Y277" s="121"/>
      <c r="Z277" s="121"/>
      <c r="AA277" s="75"/>
      <c r="AB277" s="75"/>
      <c r="AC277" s="76"/>
      <c r="AD277" s="69"/>
      <c r="AE277" s="122"/>
    </row>
    <row r="278" spans="1:31" outlineLevel="1">
      <c r="A278" s="81"/>
      <c r="B278" s="61"/>
      <c r="C278" s="84"/>
      <c r="D278" s="124"/>
      <c r="E278" s="124"/>
      <c r="F278" s="124"/>
      <c r="G278" s="124"/>
      <c r="H278" s="124"/>
      <c r="I278" s="124"/>
      <c r="J278" s="61"/>
      <c r="K278" s="61"/>
      <c r="L278" s="61"/>
      <c r="M278" s="61"/>
      <c r="N278" s="82"/>
      <c r="O278" s="61"/>
      <c r="P278" s="61"/>
      <c r="Q278" s="61"/>
      <c r="R278" s="61"/>
      <c r="S278" s="61"/>
      <c r="U278" s="68"/>
      <c r="V278" s="67"/>
      <c r="X278" s="121"/>
      <c r="Y278" s="121"/>
      <c r="Z278" s="121"/>
      <c r="AA278" s="75"/>
      <c r="AB278" s="75"/>
      <c r="AC278" s="76"/>
      <c r="AD278" s="69"/>
      <c r="AE278" s="122"/>
    </row>
    <row r="279" spans="1:31" outlineLevel="1">
      <c r="A279" s="81"/>
      <c r="B279" s="61"/>
      <c r="C279" s="84"/>
      <c r="D279" s="124"/>
      <c r="E279" s="124"/>
      <c r="F279" s="124"/>
      <c r="G279" s="124"/>
      <c r="H279" s="124"/>
      <c r="I279" s="124"/>
      <c r="J279" s="67"/>
      <c r="K279" s="61"/>
      <c r="L279" s="61"/>
      <c r="M279" s="61"/>
      <c r="N279" s="82"/>
      <c r="O279" s="61"/>
      <c r="P279" s="61"/>
      <c r="Q279" s="61"/>
      <c r="R279" s="61"/>
      <c r="S279" s="61"/>
      <c r="U279" s="68"/>
      <c r="V279" s="67"/>
      <c r="X279" s="121"/>
      <c r="Y279" s="121"/>
      <c r="Z279" s="121"/>
      <c r="AA279" s="75"/>
      <c r="AB279" s="75"/>
      <c r="AC279" s="76"/>
      <c r="AD279" s="69"/>
      <c r="AE279" s="122"/>
    </row>
    <row r="280" spans="1:31" outlineLevel="1">
      <c r="A280" s="81"/>
      <c r="B280" s="61"/>
      <c r="C280" s="84"/>
      <c r="D280" s="124"/>
      <c r="E280" s="124"/>
      <c r="F280" s="124"/>
      <c r="G280" s="124"/>
      <c r="H280" s="124"/>
      <c r="I280" s="124"/>
      <c r="J280" s="61"/>
      <c r="K280" s="61"/>
      <c r="L280" s="61"/>
      <c r="M280" s="61"/>
      <c r="N280" s="82"/>
      <c r="O280" s="61"/>
      <c r="P280" s="61"/>
      <c r="Q280" s="61"/>
      <c r="R280" s="61"/>
      <c r="S280" s="61"/>
      <c r="U280" s="68"/>
      <c r="V280" s="67"/>
      <c r="X280" s="121"/>
      <c r="Y280" s="121"/>
      <c r="Z280" s="121"/>
      <c r="AA280" s="75"/>
      <c r="AB280" s="75"/>
      <c r="AC280" s="76"/>
      <c r="AD280" s="69"/>
      <c r="AE280" s="122"/>
    </row>
    <row r="281" spans="1:31" outlineLevel="1">
      <c r="A281" s="81"/>
      <c r="B281" s="61"/>
      <c r="C281" s="84"/>
      <c r="D281" s="124"/>
      <c r="E281" s="124"/>
      <c r="F281" s="124"/>
      <c r="G281" s="124"/>
      <c r="H281" s="124"/>
      <c r="I281" s="124"/>
      <c r="J281" s="125"/>
      <c r="K281" s="61"/>
      <c r="L281" s="61"/>
      <c r="M281" s="61"/>
      <c r="N281" s="82"/>
      <c r="O281" s="61"/>
      <c r="P281" s="61"/>
      <c r="Q281" s="61"/>
      <c r="R281" s="61"/>
      <c r="S281" s="61"/>
      <c r="U281" s="68"/>
      <c r="V281" s="67"/>
      <c r="X281" s="121"/>
      <c r="Y281" s="121"/>
      <c r="Z281" s="121"/>
      <c r="AA281" s="75"/>
      <c r="AB281" s="75"/>
      <c r="AC281" s="76"/>
      <c r="AD281" s="69"/>
      <c r="AE281" s="122"/>
    </row>
    <row r="282" spans="1:31" outlineLevel="1">
      <c r="A282" s="81"/>
      <c r="B282" s="61"/>
      <c r="C282" s="84"/>
      <c r="D282" s="124"/>
      <c r="E282" s="124"/>
      <c r="F282" s="124"/>
      <c r="G282" s="124"/>
      <c r="H282" s="124"/>
      <c r="I282" s="124"/>
      <c r="J282" s="125"/>
      <c r="K282" s="61"/>
      <c r="L282" s="61"/>
      <c r="M282" s="61"/>
      <c r="N282" s="82"/>
      <c r="O282" s="61"/>
      <c r="P282" s="61"/>
      <c r="Q282" s="61"/>
      <c r="R282" s="61"/>
      <c r="S282" s="61"/>
      <c r="U282" s="68"/>
      <c r="V282" s="67"/>
      <c r="X282" s="121"/>
      <c r="Y282" s="121"/>
      <c r="Z282" s="121"/>
      <c r="AA282" s="75"/>
      <c r="AB282" s="75"/>
      <c r="AC282" s="76"/>
      <c r="AD282" s="69"/>
      <c r="AE282" s="122"/>
    </row>
    <row r="283" spans="1:31" outlineLevel="1">
      <c r="A283" s="81"/>
      <c r="B283" s="61"/>
      <c r="C283" s="84"/>
      <c r="D283" s="124"/>
      <c r="E283" s="124"/>
      <c r="F283" s="124"/>
      <c r="G283" s="124"/>
      <c r="H283" s="124"/>
      <c r="I283" s="124"/>
      <c r="J283" s="125"/>
      <c r="K283" s="61"/>
      <c r="L283" s="61"/>
      <c r="M283" s="61"/>
      <c r="N283" s="82"/>
      <c r="O283" s="61"/>
      <c r="P283" s="61"/>
      <c r="Q283" s="61"/>
      <c r="R283" s="61"/>
      <c r="S283" s="61"/>
      <c r="U283" s="68"/>
      <c r="V283" s="67"/>
      <c r="X283" s="121"/>
      <c r="Y283" s="121"/>
      <c r="Z283" s="121"/>
      <c r="AA283" s="75"/>
      <c r="AB283" s="75"/>
      <c r="AC283" s="76"/>
      <c r="AD283" s="69"/>
      <c r="AE283" s="122"/>
    </row>
    <row r="284" spans="1:31" outlineLevel="1">
      <c r="A284" s="81"/>
      <c r="B284" s="61"/>
      <c r="C284" s="84"/>
      <c r="D284" s="124"/>
      <c r="E284" s="124"/>
      <c r="F284" s="124"/>
      <c r="G284" s="124"/>
      <c r="H284" s="124"/>
      <c r="I284" s="124"/>
      <c r="J284" s="125"/>
      <c r="K284" s="61"/>
      <c r="L284" s="61"/>
      <c r="M284" s="61"/>
      <c r="N284" s="82"/>
      <c r="O284" s="61"/>
      <c r="P284" s="61"/>
      <c r="Q284" s="61"/>
      <c r="R284" s="61"/>
      <c r="S284" s="61"/>
      <c r="U284" s="68"/>
      <c r="V284" s="67"/>
      <c r="X284" s="121"/>
      <c r="Y284" s="121"/>
      <c r="Z284" s="121"/>
      <c r="AA284" s="75"/>
      <c r="AB284" s="75"/>
      <c r="AC284" s="76"/>
      <c r="AD284" s="69"/>
      <c r="AE284" s="122"/>
    </row>
    <row r="285" spans="1:31" outlineLevel="1">
      <c r="A285" s="81"/>
      <c r="B285" s="61"/>
      <c r="C285" s="84"/>
      <c r="D285" s="124"/>
      <c r="E285" s="124"/>
      <c r="F285" s="124"/>
      <c r="G285" s="124"/>
      <c r="H285" s="124"/>
      <c r="I285" s="124"/>
      <c r="J285" s="125"/>
      <c r="K285" s="61"/>
      <c r="L285" s="61"/>
      <c r="M285" s="61"/>
      <c r="N285" s="82"/>
      <c r="O285" s="61"/>
      <c r="P285" s="61"/>
      <c r="Q285" s="61"/>
      <c r="R285" s="61"/>
      <c r="S285" s="61"/>
      <c r="U285" s="68"/>
      <c r="V285" s="67"/>
      <c r="X285" s="121"/>
      <c r="Y285" s="121"/>
      <c r="Z285" s="121"/>
      <c r="AA285" s="75"/>
      <c r="AB285" s="75"/>
      <c r="AC285" s="76"/>
      <c r="AD285" s="69"/>
      <c r="AE285" s="122"/>
    </row>
    <row r="286" spans="1:31" outlineLevel="1">
      <c r="A286" s="81"/>
      <c r="B286" s="61"/>
      <c r="C286" s="84"/>
      <c r="D286" s="124"/>
      <c r="E286" s="124"/>
      <c r="F286" s="124"/>
      <c r="G286" s="124"/>
      <c r="H286" s="124"/>
      <c r="I286" s="124"/>
      <c r="J286" s="125"/>
      <c r="K286" s="61"/>
      <c r="L286" s="61"/>
      <c r="M286" s="61"/>
      <c r="N286" s="82"/>
      <c r="O286" s="61"/>
      <c r="P286" s="61"/>
      <c r="Q286" s="61"/>
      <c r="R286" s="61"/>
      <c r="S286" s="61"/>
      <c r="U286" s="68"/>
      <c r="V286" s="67"/>
      <c r="X286" s="121"/>
      <c r="Y286" s="121"/>
      <c r="Z286" s="121"/>
      <c r="AA286" s="75"/>
      <c r="AB286" s="75"/>
      <c r="AC286" s="76"/>
      <c r="AD286" s="69"/>
      <c r="AE286" s="122"/>
    </row>
    <row r="287" spans="1:31" outlineLevel="1">
      <c r="A287" s="81"/>
      <c r="B287" s="61"/>
      <c r="C287" s="84"/>
      <c r="D287" s="124"/>
      <c r="E287" s="124"/>
      <c r="F287" s="124"/>
      <c r="G287" s="124"/>
      <c r="H287" s="124"/>
      <c r="I287" s="124"/>
      <c r="J287" s="125"/>
      <c r="K287" s="61"/>
      <c r="L287" s="61"/>
      <c r="M287" s="61"/>
      <c r="N287" s="82"/>
      <c r="O287" s="61"/>
      <c r="P287" s="61"/>
      <c r="Q287" s="61"/>
      <c r="R287" s="61"/>
      <c r="S287" s="61"/>
      <c r="U287" s="68"/>
      <c r="V287" s="67"/>
      <c r="X287" s="121"/>
      <c r="Y287" s="121"/>
      <c r="Z287" s="121"/>
      <c r="AA287" s="75"/>
      <c r="AB287" s="75"/>
      <c r="AC287" s="76"/>
      <c r="AD287" s="69"/>
      <c r="AE287" s="122"/>
    </row>
    <row r="288" spans="1:31" outlineLevel="1">
      <c r="A288" s="81"/>
      <c r="B288" s="61"/>
      <c r="C288" s="84"/>
      <c r="D288" s="124"/>
      <c r="E288" s="124"/>
      <c r="F288" s="124"/>
      <c r="G288" s="124"/>
      <c r="H288" s="124"/>
      <c r="I288" s="124"/>
      <c r="J288" s="125"/>
      <c r="K288" s="61"/>
      <c r="L288" s="61"/>
      <c r="M288" s="61"/>
      <c r="N288" s="82"/>
      <c r="O288" s="61"/>
      <c r="P288" s="61"/>
      <c r="Q288" s="61"/>
      <c r="R288" s="61"/>
      <c r="S288" s="61"/>
      <c r="U288" s="68"/>
      <c r="V288" s="67"/>
      <c r="X288" s="121"/>
      <c r="Y288" s="121"/>
      <c r="Z288" s="121"/>
      <c r="AA288" s="75"/>
      <c r="AB288" s="75"/>
      <c r="AC288" s="76"/>
      <c r="AD288" s="69"/>
      <c r="AE288" s="122"/>
    </row>
    <row r="289" spans="1:33" outlineLevel="1">
      <c r="A289" s="81"/>
      <c r="B289" s="61"/>
      <c r="C289" s="84"/>
      <c r="D289" s="124"/>
      <c r="E289" s="124"/>
      <c r="F289" s="124"/>
      <c r="G289" s="124"/>
      <c r="H289" s="124"/>
      <c r="I289" s="124"/>
      <c r="J289" s="125"/>
      <c r="K289" s="61"/>
      <c r="L289" s="61"/>
      <c r="M289" s="61"/>
      <c r="N289" s="82"/>
      <c r="O289" s="61"/>
      <c r="P289" s="61"/>
      <c r="Q289" s="61"/>
      <c r="R289" s="61"/>
      <c r="S289" s="61"/>
      <c r="U289" s="68"/>
      <c r="V289" s="67"/>
      <c r="X289" s="121"/>
      <c r="Y289" s="121"/>
      <c r="Z289" s="121"/>
      <c r="AA289" s="75"/>
      <c r="AB289" s="75"/>
      <c r="AC289" s="76"/>
      <c r="AD289" s="69"/>
      <c r="AE289" s="122"/>
    </row>
    <row r="290" spans="1:33" outlineLevel="1">
      <c r="A290" s="81"/>
      <c r="B290" s="61"/>
      <c r="C290" s="84"/>
      <c r="D290" s="124"/>
      <c r="E290" s="124"/>
      <c r="F290" s="124"/>
      <c r="G290" s="124"/>
      <c r="H290" s="124"/>
      <c r="I290" s="124"/>
      <c r="J290" s="125"/>
      <c r="K290" s="61"/>
      <c r="L290" s="61"/>
      <c r="M290" s="61"/>
      <c r="N290" s="82"/>
      <c r="O290" s="61"/>
      <c r="P290" s="61"/>
      <c r="Q290" s="61"/>
      <c r="R290" s="61"/>
      <c r="S290" s="61"/>
      <c r="U290" s="68"/>
      <c r="V290" s="67"/>
      <c r="X290" s="121"/>
      <c r="Y290" s="121"/>
      <c r="Z290" s="121"/>
      <c r="AA290" s="75"/>
      <c r="AB290" s="75"/>
      <c r="AC290" s="76"/>
      <c r="AD290" s="69"/>
      <c r="AE290" s="122"/>
    </row>
    <row r="291" spans="1:33" outlineLevel="1">
      <c r="A291" s="81"/>
      <c r="B291" s="61"/>
      <c r="C291" s="84"/>
      <c r="D291" s="124"/>
      <c r="E291" s="124"/>
      <c r="F291" s="124"/>
      <c r="G291" s="124"/>
      <c r="H291" s="124"/>
      <c r="I291" s="124"/>
      <c r="J291" s="125"/>
      <c r="K291" s="61"/>
      <c r="L291" s="61"/>
      <c r="M291" s="61"/>
      <c r="N291" s="82"/>
      <c r="O291" s="61"/>
      <c r="P291" s="61"/>
      <c r="Q291" s="61"/>
      <c r="R291" s="61"/>
      <c r="S291" s="61"/>
      <c r="U291" s="68"/>
      <c r="V291" s="67"/>
      <c r="X291" s="121"/>
      <c r="Y291" s="121"/>
      <c r="Z291" s="121"/>
      <c r="AA291" s="75"/>
      <c r="AB291" s="75"/>
      <c r="AC291" s="76"/>
      <c r="AD291" s="69"/>
      <c r="AE291" s="122"/>
    </row>
    <row r="292" spans="1:33" outlineLevel="1">
      <c r="A292" s="81"/>
      <c r="B292" s="61"/>
      <c r="C292" s="84"/>
      <c r="D292" s="124"/>
      <c r="E292" s="124"/>
      <c r="F292" s="124"/>
      <c r="G292" s="124"/>
      <c r="H292" s="124"/>
      <c r="I292" s="124"/>
      <c r="J292" s="125"/>
      <c r="K292" s="61"/>
      <c r="L292" s="61"/>
      <c r="M292" s="61"/>
      <c r="N292" s="82"/>
      <c r="O292" s="61"/>
      <c r="P292" s="61"/>
      <c r="Q292" s="61"/>
      <c r="R292" s="61"/>
      <c r="S292" s="61"/>
      <c r="U292" s="68"/>
      <c r="V292" s="67"/>
      <c r="X292" s="121"/>
      <c r="Y292" s="121"/>
      <c r="Z292" s="121"/>
      <c r="AA292" s="75"/>
      <c r="AB292" s="75"/>
      <c r="AC292" s="76"/>
      <c r="AD292" s="69"/>
      <c r="AE292" s="122"/>
    </row>
    <row r="293" spans="1:33" outlineLevel="1">
      <c r="A293" s="81"/>
      <c r="B293" s="61"/>
      <c r="C293" s="84"/>
      <c r="D293" s="124"/>
      <c r="E293" s="124"/>
      <c r="F293" s="124"/>
      <c r="G293" s="124"/>
      <c r="H293" s="124"/>
      <c r="I293" s="124"/>
      <c r="J293" s="125"/>
      <c r="K293" s="61"/>
      <c r="L293" s="61"/>
      <c r="M293" s="61"/>
      <c r="N293" s="82"/>
      <c r="O293" s="61"/>
      <c r="P293" s="61"/>
      <c r="Q293" s="61"/>
      <c r="R293" s="61"/>
      <c r="S293" s="61"/>
      <c r="U293" s="68"/>
      <c r="V293" s="67"/>
      <c r="X293" s="121"/>
      <c r="Y293" s="121"/>
      <c r="Z293" s="121"/>
      <c r="AA293" s="75"/>
      <c r="AB293" s="75"/>
      <c r="AC293" s="76"/>
      <c r="AD293" s="69"/>
      <c r="AE293" s="122"/>
    </row>
    <row r="294" spans="1:33" outlineLevel="1">
      <c r="A294" s="81"/>
      <c r="B294" s="61"/>
      <c r="C294" s="84"/>
      <c r="D294" s="124"/>
      <c r="E294" s="124"/>
      <c r="F294" s="124"/>
      <c r="G294" s="124"/>
      <c r="H294" s="124"/>
      <c r="I294" s="124"/>
      <c r="J294" s="125"/>
      <c r="K294" s="61"/>
      <c r="L294" s="61"/>
      <c r="M294" s="61"/>
      <c r="N294" s="82"/>
      <c r="O294" s="61"/>
      <c r="P294" s="61"/>
      <c r="Q294" s="61"/>
      <c r="R294" s="61"/>
      <c r="S294" s="61"/>
      <c r="U294" s="68"/>
      <c r="V294" s="67"/>
      <c r="X294" s="121"/>
      <c r="Y294" s="121"/>
      <c r="Z294" s="121"/>
      <c r="AA294" s="75"/>
      <c r="AB294" s="75"/>
      <c r="AC294" s="76"/>
      <c r="AD294" s="69"/>
      <c r="AE294" s="122"/>
    </row>
    <row r="295" spans="1:33" outlineLevel="1">
      <c r="A295" s="81"/>
      <c r="B295" s="61"/>
      <c r="C295" s="61"/>
      <c r="D295" s="61"/>
      <c r="E295" s="61"/>
      <c r="F295" s="61"/>
      <c r="G295" s="61"/>
      <c r="H295" s="61"/>
      <c r="I295" s="61"/>
      <c r="J295" s="61"/>
      <c r="K295" s="61"/>
      <c r="L295" s="61"/>
      <c r="M295" s="61"/>
      <c r="N295" s="82"/>
      <c r="X295" s="121" t="s">
        <v>245</v>
      </c>
      <c r="Y295" s="121" t="s">
        <v>214</v>
      </c>
      <c r="Z295" s="121" t="str">
        <f>CONCATENATE(X295,Y295)</f>
        <v>LX</v>
      </c>
      <c r="AA295" s="75" t="s">
        <v>292</v>
      </c>
      <c r="AB295" s="75" t="s">
        <v>265</v>
      </c>
      <c r="AC295" s="76" t="str">
        <f>CONCATENATE(Z295,AA295)</f>
        <v>LX$1321</v>
      </c>
      <c r="AD295" s="69" t="str">
        <f>CONCATENATE(AB295,AC295)</f>
        <v>=Consolidated!LX$1321</v>
      </c>
      <c r="AE295" s="122" t="s">
        <v>406</v>
      </c>
      <c r="AG295" s="67">
        <v>2</v>
      </c>
    </row>
    <row r="296" spans="1:33" outlineLevel="1">
      <c r="A296" s="81"/>
      <c r="B296" s="61"/>
      <c r="C296" s="61"/>
      <c r="D296" s="61"/>
      <c r="E296" s="61"/>
      <c r="F296" s="61"/>
      <c r="G296" s="61"/>
      <c r="H296" s="61"/>
      <c r="I296" s="61"/>
      <c r="J296" s="61"/>
      <c r="K296" s="61"/>
      <c r="L296" s="61"/>
      <c r="M296" s="61"/>
      <c r="N296" s="82"/>
      <c r="X296" s="121"/>
      <c r="Y296" s="121"/>
      <c r="Z296" s="121"/>
      <c r="AA296" s="75"/>
      <c r="AB296" s="75"/>
      <c r="AC296" s="76"/>
      <c r="AD296" s="69"/>
      <c r="AE296" s="122"/>
    </row>
    <row r="297" spans="1:33" outlineLevel="1">
      <c r="A297" s="81"/>
      <c r="B297" s="61"/>
      <c r="C297" s="61"/>
      <c r="D297" s="61"/>
      <c r="E297" s="61"/>
      <c r="F297" s="61"/>
      <c r="G297" s="61"/>
      <c r="H297" s="61"/>
      <c r="I297" s="61"/>
      <c r="J297" s="61"/>
      <c r="K297" s="61"/>
      <c r="L297" s="61"/>
      <c r="M297" s="61"/>
      <c r="N297" s="82"/>
      <c r="X297" s="121"/>
      <c r="Y297" s="121"/>
      <c r="Z297" s="121"/>
      <c r="AA297" s="75"/>
      <c r="AB297" s="75"/>
      <c r="AC297" s="76"/>
      <c r="AD297" s="69"/>
      <c r="AE297" s="122"/>
    </row>
    <row r="298" spans="1:33" outlineLevel="1">
      <c r="A298" s="81"/>
      <c r="B298" s="61"/>
      <c r="C298" s="61"/>
      <c r="D298" s="61"/>
      <c r="E298" s="61"/>
      <c r="F298" s="61"/>
      <c r="G298" s="61"/>
      <c r="H298" s="61"/>
      <c r="I298" s="61"/>
      <c r="J298" s="61"/>
      <c r="K298" s="61"/>
      <c r="L298" s="61"/>
      <c r="M298" s="61"/>
      <c r="N298" s="82"/>
      <c r="X298" s="121"/>
      <c r="Y298" s="121"/>
      <c r="Z298" s="121"/>
      <c r="AA298" s="75"/>
      <c r="AB298" s="75"/>
      <c r="AC298" s="76"/>
      <c r="AD298" s="69"/>
      <c r="AE298" s="122"/>
    </row>
    <row r="299" spans="1:33" ht="15" thickBot="1">
      <c r="A299" s="85"/>
      <c r="B299" s="86"/>
      <c r="C299" s="86"/>
      <c r="D299" s="86"/>
      <c r="E299" s="86"/>
      <c r="F299" s="86"/>
      <c r="G299" s="86"/>
      <c r="H299" s="86"/>
      <c r="I299" s="86"/>
      <c r="J299" s="86"/>
      <c r="K299" s="86"/>
      <c r="L299" s="86"/>
      <c r="M299" s="86"/>
      <c r="N299" s="87"/>
      <c r="X299" s="121" t="s">
        <v>245</v>
      </c>
      <c r="Y299" s="121" t="s">
        <v>255</v>
      </c>
      <c r="Z299" s="121" t="str">
        <f t="shared" ref="Z299:Z310" si="30">CONCATENATE(X299,Y299)</f>
        <v>LY</v>
      </c>
      <c r="AA299" s="75" t="s">
        <v>292</v>
      </c>
      <c r="AB299" s="75" t="s">
        <v>265</v>
      </c>
      <c r="AC299" s="76" t="str">
        <f t="shared" ref="AC299:AC310" si="31">CONCATENATE(Z299,AA299)</f>
        <v>LY$1321</v>
      </c>
      <c r="AD299" s="69" t="str">
        <f t="shared" ref="AD299:AD310" si="32">CONCATENATE(AB299,AC299)</f>
        <v>=Consolidated!LY$1321</v>
      </c>
      <c r="AE299" s="122" t="s">
        <v>407</v>
      </c>
      <c r="AG299" s="67">
        <v>3</v>
      </c>
    </row>
    <row r="300" spans="1:33" ht="18">
      <c r="A300" s="77"/>
      <c r="B300" s="78"/>
      <c r="C300" s="79" t="s">
        <v>287</v>
      </c>
      <c r="D300" s="78"/>
      <c r="E300" s="78"/>
      <c r="F300" s="78"/>
      <c r="G300" s="78"/>
      <c r="H300" s="78"/>
      <c r="I300" s="78"/>
      <c r="J300" s="78"/>
      <c r="K300" s="78"/>
      <c r="L300" s="78"/>
      <c r="M300" s="78"/>
      <c r="N300" s="80"/>
      <c r="X300" s="121" t="s">
        <v>245</v>
      </c>
      <c r="Y300" s="121" t="s">
        <v>256</v>
      </c>
      <c r="Z300" s="121" t="str">
        <f t="shared" si="30"/>
        <v>LZ</v>
      </c>
      <c r="AA300" s="75" t="s">
        <v>292</v>
      </c>
      <c r="AB300" s="75" t="s">
        <v>265</v>
      </c>
      <c r="AC300" s="76" t="str">
        <f t="shared" si="31"/>
        <v>LZ$1321</v>
      </c>
      <c r="AD300" s="69" t="str">
        <f t="shared" si="32"/>
        <v>=Consolidated!LZ$1321</v>
      </c>
      <c r="AE300" s="122" t="s">
        <v>408</v>
      </c>
      <c r="AG300" s="67">
        <v>4</v>
      </c>
    </row>
    <row r="301" spans="1:33" ht="15" outlineLevel="1" thickBot="1">
      <c r="A301" s="81"/>
      <c r="B301" s="61"/>
      <c r="C301" s="61"/>
      <c r="D301" s="61"/>
      <c r="E301" s="61"/>
      <c r="F301" s="61"/>
      <c r="G301" s="61"/>
      <c r="H301" s="61"/>
      <c r="I301" s="61"/>
      <c r="J301" s="61"/>
      <c r="K301" s="61"/>
      <c r="L301" s="61"/>
      <c r="M301" s="61"/>
      <c r="N301" s="82"/>
      <c r="X301" s="121" t="s">
        <v>246</v>
      </c>
      <c r="Y301" s="121" t="s">
        <v>257</v>
      </c>
      <c r="Z301" s="121" t="str">
        <f t="shared" si="30"/>
        <v>MA</v>
      </c>
      <c r="AA301" s="75" t="s">
        <v>292</v>
      </c>
      <c r="AB301" s="75" t="s">
        <v>265</v>
      </c>
      <c r="AC301" s="76" t="str">
        <f t="shared" si="31"/>
        <v>MA$1321</v>
      </c>
      <c r="AD301" s="69" t="str">
        <f t="shared" si="32"/>
        <v>=Consolidated!MA$1321</v>
      </c>
      <c r="AE301" s="122" t="s">
        <v>410</v>
      </c>
      <c r="AG301" s="67">
        <v>5</v>
      </c>
    </row>
    <row r="302" spans="1:33" ht="29.4" outlineLevel="1" thickBot="1">
      <c r="A302" s="83"/>
      <c r="B302" s="84"/>
      <c r="C302" s="71" t="s">
        <v>239</v>
      </c>
      <c r="D302" s="96" t="s">
        <v>240</v>
      </c>
      <c r="E302" s="107">
        <v>2013</v>
      </c>
      <c r="F302" s="107">
        <v>2014</v>
      </c>
      <c r="G302" s="107">
        <v>2015</v>
      </c>
      <c r="H302" s="107">
        <v>2016</v>
      </c>
      <c r="I302" s="107" t="s">
        <v>290</v>
      </c>
      <c r="J302" s="107" t="s">
        <v>301</v>
      </c>
      <c r="K302" s="72" t="s">
        <v>282</v>
      </c>
      <c r="L302" s="560" t="s">
        <v>808</v>
      </c>
      <c r="M302" s="61"/>
      <c r="N302" s="82"/>
      <c r="O302" s="61"/>
      <c r="P302" s="61"/>
      <c r="Q302" s="61"/>
      <c r="R302" s="61"/>
      <c r="S302" s="61"/>
      <c r="V302" s="68"/>
      <c r="X302" s="121" t="s">
        <v>246</v>
      </c>
      <c r="Y302" s="121" t="s">
        <v>258</v>
      </c>
      <c r="Z302" s="121" t="str">
        <f t="shared" si="30"/>
        <v>MB</v>
      </c>
      <c r="AA302" s="75" t="s">
        <v>292</v>
      </c>
      <c r="AB302" s="75" t="s">
        <v>265</v>
      </c>
      <c r="AC302" s="76" t="str">
        <f t="shared" si="31"/>
        <v>MB$1321</v>
      </c>
      <c r="AD302" s="69" t="str">
        <f t="shared" si="32"/>
        <v>=Consolidated!MB$1321</v>
      </c>
      <c r="AE302" s="122" t="s">
        <v>411</v>
      </c>
      <c r="AG302" s="67">
        <v>6</v>
      </c>
    </row>
    <row r="303" spans="1:33" outlineLevel="1">
      <c r="A303" s="81">
        <v>1</v>
      </c>
      <c r="B303" s="61"/>
      <c r="C303" s="131" t="s">
        <v>68</v>
      </c>
      <c r="D303" s="58">
        <f>'CIIP 2016 Revised Format'!AW$24</f>
        <v>0</v>
      </c>
      <c r="E303" s="129" t="e">
        <f>'CIIP 2016 Revised Format'!#REF!</f>
        <v>#REF!</v>
      </c>
      <c r="F303" s="111" t="e">
        <f>'CIIP 2016 Revised Format'!#REF!</f>
        <v>#REF!</v>
      </c>
      <c r="G303" s="111" t="e">
        <f>'CIIP 2016 Revised Format'!#REF!</f>
        <v>#REF!</v>
      </c>
      <c r="H303" s="111" t="e">
        <f>'CIIP 2016 Revised Format'!#REF!</f>
        <v>#REF!</v>
      </c>
      <c r="I303" s="111" t="e">
        <f>'CIIP 2016 Revised Format'!#REF!</f>
        <v>#REF!</v>
      </c>
      <c r="J303" s="130" t="e">
        <f>'CIIP 2016 Revised Format'!#REF!</f>
        <v>#REF!</v>
      </c>
      <c r="K303" s="60" t="e">
        <f>'CIIP 2016 Revised Format'!#REF!</f>
        <v>#REF!</v>
      </c>
      <c r="L303" s="60" t="e">
        <f>"ICT - PhP"&amp; ROUND(K303/1000000, 0)&amp;" B"</f>
        <v>#REF!</v>
      </c>
      <c r="M303" s="254"/>
      <c r="N303" s="256"/>
      <c r="P303" s="61"/>
      <c r="Q303" s="61"/>
      <c r="R303" s="61"/>
      <c r="S303" s="61" t="s">
        <v>294</v>
      </c>
      <c r="V303" s="68"/>
      <c r="X303" s="121" t="s">
        <v>246</v>
      </c>
      <c r="Y303" s="121" t="s">
        <v>259</v>
      </c>
      <c r="Z303" s="121" t="str">
        <f t="shared" si="30"/>
        <v>MC</v>
      </c>
      <c r="AA303" s="75" t="s">
        <v>292</v>
      </c>
      <c r="AB303" s="75" t="s">
        <v>265</v>
      </c>
      <c r="AC303" s="76" t="str">
        <f t="shared" si="31"/>
        <v>MC$1321</v>
      </c>
      <c r="AD303" s="69" t="str">
        <f t="shared" si="32"/>
        <v>=Consolidated!MC$1321</v>
      </c>
      <c r="AE303" s="69" t="s">
        <v>412</v>
      </c>
    </row>
    <row r="304" spans="1:33" outlineLevel="1">
      <c r="A304" s="81">
        <v>2</v>
      </c>
      <c r="B304" s="61"/>
      <c r="C304" s="132" t="s">
        <v>869</v>
      </c>
      <c r="D304" s="53">
        <f>'CIIP 2016 Revised Format'!BA$24</f>
        <v>10</v>
      </c>
      <c r="E304" s="128" t="e">
        <f>'CIIP 2016 Revised Format'!#REF!</f>
        <v>#REF!</v>
      </c>
      <c r="F304" s="128" t="e">
        <f>'CIIP 2016 Revised Format'!#REF!</f>
        <v>#REF!</v>
      </c>
      <c r="G304" s="128" t="e">
        <f>'CIIP 2016 Revised Format'!#REF!</f>
        <v>#REF!</v>
      </c>
      <c r="H304" s="128" t="e">
        <f>'CIIP 2016 Revised Format'!#REF!</f>
        <v>#REF!</v>
      </c>
      <c r="I304" s="128" t="e">
        <f>'CIIP 2016 Revised Format'!#REF!</f>
        <v>#REF!</v>
      </c>
      <c r="J304" s="128" t="e">
        <f>'CIIP 2016 Revised Format'!#REF!</f>
        <v>#REF!</v>
      </c>
      <c r="K304" s="70" t="e">
        <f>'CIIP 2016 Revised Format'!#REF!</f>
        <v>#REF!</v>
      </c>
      <c r="L304" s="70" t="e">
        <f>"Others - PhP"&amp; ROUND(K304/1000000, 0)&amp;" B"</f>
        <v>#REF!</v>
      </c>
      <c r="M304" s="254"/>
      <c r="N304" s="256"/>
      <c r="P304" s="61"/>
      <c r="Q304" s="61"/>
      <c r="R304" s="61"/>
      <c r="S304" s="61" t="s">
        <v>295</v>
      </c>
      <c r="V304" s="68"/>
      <c r="X304" s="121" t="s">
        <v>246</v>
      </c>
      <c r="Y304" s="121" t="s">
        <v>260</v>
      </c>
      <c r="Z304" s="121" t="str">
        <f t="shared" si="30"/>
        <v>MD</v>
      </c>
      <c r="AA304" s="75" t="s">
        <v>292</v>
      </c>
      <c r="AB304" s="75" t="s">
        <v>265</v>
      </c>
      <c r="AC304" s="76" t="str">
        <f t="shared" si="31"/>
        <v>MD$1321</v>
      </c>
      <c r="AD304" s="69" t="str">
        <f t="shared" si="32"/>
        <v>=Consolidated!MD$1321</v>
      </c>
      <c r="AE304" s="122" t="s">
        <v>413</v>
      </c>
      <c r="AG304" s="67">
        <v>1</v>
      </c>
    </row>
    <row r="305" spans="1:33" outlineLevel="1">
      <c r="A305" s="81">
        <v>4</v>
      </c>
      <c r="B305" s="61"/>
      <c r="C305" s="132" t="s">
        <v>194</v>
      </c>
      <c r="D305" s="53">
        <f>'CIIP 2016 Revised Format'!AZ$24</f>
        <v>0</v>
      </c>
      <c r="E305" s="112" t="e">
        <f>'CIIP 2016 Revised Format'!#REF!</f>
        <v>#REF!</v>
      </c>
      <c r="F305" s="112" t="e">
        <f>'CIIP 2016 Revised Format'!#REF!</f>
        <v>#REF!</v>
      </c>
      <c r="G305" s="112" t="e">
        <f>'CIIP 2016 Revised Format'!#REF!</f>
        <v>#REF!</v>
      </c>
      <c r="H305" s="112" t="e">
        <f>'CIIP 2016 Revised Format'!#REF!</f>
        <v>#REF!</v>
      </c>
      <c r="I305" s="112" t="e">
        <f>'CIIP 2016 Revised Format'!#REF!</f>
        <v>#REF!</v>
      </c>
      <c r="J305" s="112" t="e">
        <f>'CIIP 2016 Revised Format'!#REF!</f>
        <v>#REF!</v>
      </c>
      <c r="K305" s="70" t="e">
        <f>'CIIP 2016 Revised Format'!#REF!</f>
        <v>#REF!</v>
      </c>
      <c r="L305" s="70" t="e">
        <f>"Water - PhP"&amp; ROUND(K305/1000000, 0)&amp;" B"</f>
        <v>#REF!</v>
      </c>
      <c r="M305" s="254"/>
      <c r="N305" s="256"/>
      <c r="P305" s="61"/>
      <c r="Q305" s="61"/>
      <c r="R305" s="61"/>
      <c r="S305" s="61" t="s">
        <v>297</v>
      </c>
      <c r="V305" s="68"/>
      <c r="X305" s="121" t="s">
        <v>246</v>
      </c>
      <c r="Y305" s="121" t="s">
        <v>262</v>
      </c>
      <c r="Z305" s="121" t="str">
        <f t="shared" si="30"/>
        <v>MF</v>
      </c>
      <c r="AA305" s="75" t="s">
        <v>292</v>
      </c>
      <c r="AB305" s="75" t="s">
        <v>265</v>
      </c>
      <c r="AC305" s="76" t="str">
        <f t="shared" si="31"/>
        <v>MF$1321</v>
      </c>
      <c r="AD305" s="69" t="str">
        <f t="shared" si="32"/>
        <v>=Consolidated!MF$1321</v>
      </c>
      <c r="AE305" s="122" t="s">
        <v>415</v>
      </c>
      <c r="AG305" s="67">
        <v>3</v>
      </c>
    </row>
    <row r="306" spans="1:33" outlineLevel="1">
      <c r="A306" s="81">
        <v>3</v>
      </c>
      <c r="B306" s="61"/>
      <c r="C306" s="132" t="s">
        <v>191</v>
      </c>
      <c r="D306" s="53">
        <f>'CIIP 2016 Revised Format'!AV$24</f>
        <v>0</v>
      </c>
      <c r="E306" s="109" t="e">
        <f>'CIIP 2016 Revised Format'!#REF!</f>
        <v>#REF!</v>
      </c>
      <c r="F306" s="109" t="e">
        <f>'CIIP 2016 Revised Format'!#REF!</f>
        <v>#REF!</v>
      </c>
      <c r="G306" s="109" t="e">
        <f>'CIIP 2016 Revised Format'!#REF!</f>
        <v>#REF!</v>
      </c>
      <c r="H306" s="109" t="e">
        <f>'CIIP 2016 Revised Format'!#REF!</f>
        <v>#REF!</v>
      </c>
      <c r="I306" s="109" t="e">
        <f>'CIIP 2016 Revised Format'!#REF!</f>
        <v>#REF!</v>
      </c>
      <c r="J306" s="109" t="e">
        <f>'CIIP 2016 Revised Format'!#REF!</f>
        <v>#REF!</v>
      </c>
      <c r="K306" s="70" t="e">
        <f>'CIIP 2016 Revised Format'!#REF!</f>
        <v>#REF!</v>
      </c>
      <c r="L306" s="70" t="e">
        <f>"Energy - PhP"&amp; ROUND(K306/1000000, 0)&amp;" B"</f>
        <v>#REF!</v>
      </c>
      <c r="N306" s="256"/>
      <c r="P306" s="61"/>
      <c r="Q306" s="61"/>
      <c r="R306" s="61"/>
      <c r="S306" s="61" t="s">
        <v>296</v>
      </c>
      <c r="V306" s="68"/>
      <c r="X306" s="121" t="s">
        <v>246</v>
      </c>
      <c r="Y306" s="121" t="s">
        <v>261</v>
      </c>
      <c r="Z306" s="121" t="str">
        <f t="shared" si="30"/>
        <v>ME</v>
      </c>
      <c r="AA306" s="75" t="s">
        <v>292</v>
      </c>
      <c r="AB306" s="75" t="s">
        <v>265</v>
      </c>
      <c r="AC306" s="76" t="str">
        <f t="shared" si="31"/>
        <v>ME$1321</v>
      </c>
      <c r="AD306" s="69" t="str">
        <f t="shared" si="32"/>
        <v>=Consolidated!ME$1321</v>
      </c>
      <c r="AE306" s="122" t="s">
        <v>414</v>
      </c>
      <c r="AG306" s="67">
        <v>2</v>
      </c>
    </row>
    <row r="307" spans="1:33" outlineLevel="1">
      <c r="A307" s="81">
        <v>5</v>
      </c>
      <c r="B307" s="61"/>
      <c r="C307" s="132" t="s">
        <v>182</v>
      </c>
      <c r="D307" s="53">
        <f>'CIIP 2016 Revised Format'!AX$24</f>
        <v>0</v>
      </c>
      <c r="E307" s="130" t="e">
        <f>'CIIP 2016 Revised Format'!#REF!</f>
        <v>#REF!</v>
      </c>
      <c r="F307" s="130" t="e">
        <f>'CIIP 2016 Revised Format'!#REF!</f>
        <v>#REF!</v>
      </c>
      <c r="G307" s="130" t="e">
        <f>'CIIP 2016 Revised Format'!#REF!</f>
        <v>#REF!</v>
      </c>
      <c r="H307" s="130" t="e">
        <f>'CIIP 2016 Revised Format'!#REF!</f>
        <v>#REF!</v>
      </c>
      <c r="I307" s="130" t="e">
        <f>'CIIP 2016 Revised Format'!#REF!</f>
        <v>#REF!</v>
      </c>
      <c r="J307" s="130" t="e">
        <f>'CIIP 2016 Revised Format'!#REF!</f>
        <v>#REF!</v>
      </c>
      <c r="K307" s="70" t="e">
        <f>'CIIP 2016 Revised Format'!#REF!</f>
        <v>#REF!</v>
      </c>
      <c r="L307" s="70" t="e">
        <f>"Social - PhP"&amp; ROUND(K307/1000000, 0)&amp;" B"</f>
        <v>#REF!</v>
      </c>
      <c r="M307" s="254"/>
      <c r="N307" s="256"/>
      <c r="P307" s="61"/>
      <c r="Q307" s="61"/>
      <c r="R307" s="61"/>
      <c r="S307" s="61" t="s">
        <v>298</v>
      </c>
      <c r="V307" s="68"/>
      <c r="X307" s="121" t="s">
        <v>246</v>
      </c>
      <c r="Y307" s="121" t="s">
        <v>264</v>
      </c>
      <c r="Z307" s="121" t="str">
        <f t="shared" si="30"/>
        <v>MG</v>
      </c>
      <c r="AA307" s="75" t="s">
        <v>292</v>
      </c>
      <c r="AB307" s="75" t="s">
        <v>265</v>
      </c>
      <c r="AC307" s="76" t="str">
        <f t="shared" si="31"/>
        <v>MG$1321</v>
      </c>
      <c r="AD307" s="69" t="str">
        <f t="shared" si="32"/>
        <v>=Consolidated!MG$1321</v>
      </c>
      <c r="AE307" s="122" t="s">
        <v>416</v>
      </c>
      <c r="AG307" s="67">
        <v>4</v>
      </c>
    </row>
    <row r="308" spans="1:33" ht="15" outlineLevel="1" thickBot="1">
      <c r="A308" s="81">
        <v>6</v>
      </c>
      <c r="B308" s="61"/>
      <c r="C308" s="133" t="s">
        <v>85</v>
      </c>
      <c r="D308" s="59">
        <f>'CIIP 2016 Revised Format'!AY$24</f>
        <v>0</v>
      </c>
      <c r="E308" s="113" t="e">
        <f>'CIIP 2016 Revised Format'!#REF!</f>
        <v>#REF!</v>
      </c>
      <c r="F308" s="113" t="e">
        <f>'CIIP 2016 Revised Format'!#REF!</f>
        <v>#REF!</v>
      </c>
      <c r="G308" s="113" t="e">
        <f>'CIIP 2016 Revised Format'!#REF!</f>
        <v>#REF!</v>
      </c>
      <c r="H308" s="113" t="e">
        <f>'CIIP 2016 Revised Format'!#REF!</f>
        <v>#REF!</v>
      </c>
      <c r="I308" s="113" t="e">
        <f>'CIIP 2016 Revised Format'!#REF!</f>
        <v>#REF!</v>
      </c>
      <c r="J308" s="113" t="e">
        <f>'CIIP 2016 Revised Format'!#REF!</f>
        <v>#REF!</v>
      </c>
      <c r="K308" s="97" t="e">
        <f>'CIIP 2016 Revised Format'!#REF!</f>
        <v>#REF!</v>
      </c>
      <c r="L308" s="97" t="e">
        <f>"Transportation - PhP"&amp; ROUND(K308/1000000, 0)&amp;" B"</f>
        <v>#REF!</v>
      </c>
      <c r="M308" s="254"/>
      <c r="N308" s="256"/>
      <c r="P308" s="61"/>
      <c r="Q308" s="61"/>
      <c r="R308" s="61"/>
      <c r="S308" s="61" t="s">
        <v>299</v>
      </c>
      <c r="V308" s="68"/>
      <c r="X308" s="121" t="s">
        <v>246</v>
      </c>
      <c r="Y308" s="121" t="s">
        <v>263</v>
      </c>
      <c r="Z308" s="121" t="str">
        <f t="shared" si="30"/>
        <v>MH</v>
      </c>
      <c r="AA308" s="75" t="s">
        <v>292</v>
      </c>
      <c r="AB308" s="75" t="s">
        <v>265</v>
      </c>
      <c r="AC308" s="76" t="str">
        <f t="shared" si="31"/>
        <v>MH$1321</v>
      </c>
      <c r="AD308" s="69" t="str">
        <f t="shared" si="32"/>
        <v>=Consolidated!MH$1321</v>
      </c>
      <c r="AE308" s="122" t="s">
        <v>417</v>
      </c>
      <c r="AG308" s="67">
        <v>5</v>
      </c>
    </row>
    <row r="309" spans="1:33" ht="15" outlineLevel="1" thickBot="1">
      <c r="A309" s="81"/>
      <c r="B309" s="61"/>
      <c r="C309" s="61"/>
      <c r="D309" s="61"/>
      <c r="E309" s="61"/>
      <c r="F309" s="61"/>
      <c r="G309" s="61"/>
      <c r="H309" s="61"/>
      <c r="I309" s="61"/>
      <c r="J309" s="61"/>
      <c r="K309" s="61"/>
      <c r="L309" s="61"/>
      <c r="M309" s="61"/>
      <c r="N309" s="82"/>
      <c r="O309" s="61"/>
      <c r="P309" s="61"/>
      <c r="Q309" s="61"/>
      <c r="R309" s="61"/>
      <c r="S309" s="61" t="s">
        <v>293</v>
      </c>
      <c r="V309" s="68"/>
      <c r="X309" s="121" t="s">
        <v>246</v>
      </c>
      <c r="Y309" s="121" t="s">
        <v>204</v>
      </c>
      <c r="Z309" s="121" t="str">
        <f t="shared" si="30"/>
        <v>MI</v>
      </c>
      <c r="AA309" s="75" t="s">
        <v>292</v>
      </c>
      <c r="AB309" s="75" t="s">
        <v>265</v>
      </c>
      <c r="AC309" s="76" t="str">
        <f t="shared" si="31"/>
        <v>MI$1321</v>
      </c>
      <c r="AD309" s="69" t="str">
        <f t="shared" si="32"/>
        <v>=Consolidated!MI$1321</v>
      </c>
      <c r="AE309" s="122" t="s">
        <v>418</v>
      </c>
      <c r="AG309" s="67">
        <v>6</v>
      </c>
    </row>
    <row r="310" spans="1:33" s="73" customFormat="1" ht="15" outlineLevel="1" thickBot="1">
      <c r="A310" s="83"/>
      <c r="B310" s="84"/>
      <c r="C310" s="54" t="s">
        <v>202</v>
      </c>
      <c r="D310" s="55">
        <f t="shared" ref="D310:K310" si="33">SUM(D303:D308)</f>
        <v>10</v>
      </c>
      <c r="E310" s="110" t="e">
        <f t="shared" si="33"/>
        <v>#REF!</v>
      </c>
      <c r="F310" s="110" t="e">
        <f t="shared" si="33"/>
        <v>#REF!</v>
      </c>
      <c r="G310" s="110" t="e">
        <f t="shared" si="33"/>
        <v>#REF!</v>
      </c>
      <c r="H310" s="110" t="e">
        <f t="shared" si="33"/>
        <v>#REF!</v>
      </c>
      <c r="I310" s="110" t="e">
        <f t="shared" si="33"/>
        <v>#REF!</v>
      </c>
      <c r="J310" s="110" t="e">
        <f t="shared" si="33"/>
        <v>#REF!</v>
      </c>
      <c r="K310" s="64" t="e">
        <f t="shared" si="33"/>
        <v>#REF!</v>
      </c>
      <c r="L310" s="84"/>
      <c r="M310" s="84"/>
      <c r="N310" s="89"/>
      <c r="O310" s="84"/>
      <c r="P310" s="84"/>
      <c r="Q310" s="84"/>
      <c r="R310" s="84"/>
      <c r="S310" s="84"/>
      <c r="X310" s="121" t="s">
        <v>246</v>
      </c>
      <c r="Y310" s="121" t="s">
        <v>243</v>
      </c>
      <c r="Z310" s="121" t="str">
        <f t="shared" si="30"/>
        <v>MJ</v>
      </c>
      <c r="AA310" s="75" t="s">
        <v>292</v>
      </c>
      <c r="AB310" s="75" t="s">
        <v>265</v>
      </c>
      <c r="AC310" s="76" t="str">
        <f t="shared" si="31"/>
        <v>MJ$1321</v>
      </c>
      <c r="AD310" s="69" t="str">
        <f t="shared" si="32"/>
        <v>=Consolidated!MJ$1321</v>
      </c>
      <c r="AE310" s="69" t="s">
        <v>419</v>
      </c>
      <c r="AG310" s="67"/>
    </row>
    <row r="311" spans="1:33" s="73" customFormat="1" outlineLevel="1">
      <c r="A311" s="83"/>
      <c r="B311" s="84"/>
      <c r="C311" s="84"/>
      <c r="D311" s="123"/>
      <c r="E311" s="125"/>
      <c r="F311" s="125"/>
      <c r="G311" s="125"/>
      <c r="H311" s="125"/>
      <c r="I311" s="125"/>
      <c r="J311" s="125"/>
      <c r="K311" s="125"/>
      <c r="L311" s="84"/>
      <c r="M311" s="84"/>
      <c r="N311" s="89"/>
      <c r="O311" s="84"/>
      <c r="P311" s="84"/>
      <c r="Q311" s="84"/>
      <c r="R311" s="84"/>
      <c r="S311" s="84"/>
      <c r="X311" s="121"/>
      <c r="Y311" s="121"/>
      <c r="Z311" s="121"/>
      <c r="AA311" s="75"/>
      <c r="AB311" s="75"/>
      <c r="AC311" s="76"/>
      <c r="AD311" s="69"/>
      <c r="AE311" s="69"/>
      <c r="AG311" s="67"/>
    </row>
    <row r="312" spans="1:33" s="73" customFormat="1" outlineLevel="1">
      <c r="A312" s="83"/>
      <c r="B312" s="84"/>
      <c r="C312" s="84"/>
      <c r="D312" s="123"/>
      <c r="E312" s="125"/>
      <c r="F312" s="125"/>
      <c r="G312" s="125"/>
      <c r="H312" s="125"/>
      <c r="I312" s="125"/>
      <c r="J312" s="125"/>
      <c r="K312" s="125"/>
      <c r="L312" s="84"/>
      <c r="M312" s="84"/>
      <c r="N312" s="89"/>
      <c r="O312" s="84"/>
      <c r="P312" s="84"/>
      <c r="Q312" s="84"/>
      <c r="R312" s="84"/>
      <c r="S312" s="84"/>
      <c r="X312" s="121"/>
      <c r="Y312" s="121"/>
      <c r="Z312" s="121"/>
      <c r="AA312" s="75"/>
      <c r="AB312" s="75"/>
      <c r="AC312" s="76"/>
      <c r="AD312" s="69"/>
      <c r="AE312" s="69"/>
      <c r="AG312" s="67"/>
    </row>
    <row r="313" spans="1:33" s="73" customFormat="1" outlineLevel="1">
      <c r="A313" s="83"/>
      <c r="B313" s="84"/>
      <c r="C313" s="84"/>
      <c r="D313" s="123"/>
      <c r="E313" s="125"/>
      <c r="F313" s="125"/>
      <c r="G313" s="125"/>
      <c r="H313" s="125"/>
      <c r="I313" s="125"/>
      <c r="J313" s="125"/>
      <c r="K313" s="125"/>
      <c r="L313" s="84"/>
      <c r="M313" s="84"/>
      <c r="N313" s="89"/>
      <c r="O313" s="84"/>
      <c r="P313" s="84"/>
      <c r="Q313" s="84"/>
      <c r="R313" s="84"/>
      <c r="S313" s="84"/>
      <c r="X313" s="121"/>
      <c r="Y313" s="121"/>
      <c r="Z313" s="121"/>
      <c r="AA313" s="75"/>
      <c r="AB313" s="75"/>
      <c r="AC313" s="76"/>
      <c r="AD313" s="69"/>
      <c r="AE313" s="69"/>
      <c r="AG313" s="67"/>
    </row>
    <row r="314" spans="1:33" s="73" customFormat="1" outlineLevel="1">
      <c r="A314" s="83"/>
      <c r="B314" s="84"/>
      <c r="C314" s="84"/>
      <c r="D314" s="123"/>
      <c r="E314" s="125"/>
      <c r="F314" s="125"/>
      <c r="G314" s="125"/>
      <c r="H314" s="125"/>
      <c r="I314" s="125"/>
      <c r="J314" s="125"/>
      <c r="K314" s="125"/>
      <c r="L314" s="84"/>
      <c r="M314" s="84"/>
      <c r="N314" s="89"/>
      <c r="O314" s="84"/>
      <c r="P314" s="84"/>
      <c r="Q314" s="84"/>
      <c r="R314" s="84"/>
      <c r="S314" s="84"/>
      <c r="X314" s="121"/>
      <c r="Y314" s="121"/>
      <c r="Z314" s="121"/>
      <c r="AA314" s="75"/>
      <c r="AB314" s="75"/>
      <c r="AC314" s="76"/>
      <c r="AD314" s="69"/>
      <c r="AE314" s="69"/>
      <c r="AG314" s="67"/>
    </row>
    <row r="315" spans="1:33" s="73" customFormat="1" outlineLevel="1">
      <c r="A315" s="83"/>
      <c r="B315" s="84"/>
      <c r="C315" s="84"/>
      <c r="D315" s="123"/>
      <c r="E315" s="125"/>
      <c r="F315" s="125"/>
      <c r="G315" s="125"/>
      <c r="H315" s="125"/>
      <c r="I315" s="125"/>
      <c r="J315" s="125"/>
      <c r="K315" s="125"/>
      <c r="L315" s="84"/>
      <c r="M315" s="84"/>
      <c r="N315" s="89"/>
      <c r="O315" s="84"/>
      <c r="P315" s="84"/>
      <c r="Q315" s="84"/>
      <c r="R315" s="84"/>
      <c r="S315" s="84"/>
      <c r="X315" s="121"/>
      <c r="Y315" s="121"/>
      <c r="Z315" s="121"/>
      <c r="AA315" s="75"/>
      <c r="AB315" s="75"/>
      <c r="AC315" s="76"/>
      <c r="AD315" s="69"/>
      <c r="AE315" s="69"/>
      <c r="AG315" s="67"/>
    </row>
    <row r="316" spans="1:33" s="73" customFormat="1" outlineLevel="1">
      <c r="A316" s="83"/>
      <c r="B316" s="84"/>
      <c r="C316" s="84"/>
      <c r="D316" s="123"/>
      <c r="E316" s="125"/>
      <c r="F316" s="125"/>
      <c r="G316" s="125"/>
      <c r="H316" s="125"/>
      <c r="I316" s="125"/>
      <c r="J316" s="125"/>
      <c r="K316" s="125"/>
      <c r="L316" s="84"/>
      <c r="M316" s="84"/>
      <c r="N316" s="89"/>
      <c r="O316" s="84"/>
      <c r="P316" s="84"/>
      <c r="Q316" s="84"/>
      <c r="R316" s="84"/>
      <c r="S316" s="84"/>
      <c r="X316" s="121"/>
      <c r="Y316" s="121"/>
      <c r="Z316" s="121"/>
      <c r="AA316" s="75"/>
      <c r="AB316" s="75"/>
      <c r="AC316" s="76"/>
      <c r="AD316" s="69"/>
      <c r="AE316" s="69"/>
      <c r="AG316" s="67"/>
    </row>
    <row r="317" spans="1:33" s="73" customFormat="1" outlineLevel="1">
      <c r="A317" s="83"/>
      <c r="B317" s="84"/>
      <c r="C317" s="84"/>
      <c r="D317" s="123"/>
      <c r="E317" s="125"/>
      <c r="F317" s="125"/>
      <c r="G317" s="125"/>
      <c r="H317" s="125"/>
      <c r="I317" s="125"/>
      <c r="J317" s="125"/>
      <c r="K317" s="125"/>
      <c r="L317" s="84"/>
      <c r="M317" s="84"/>
      <c r="N317" s="89"/>
      <c r="O317" s="84"/>
      <c r="P317" s="84"/>
      <c r="Q317" s="84"/>
      <c r="R317" s="84"/>
      <c r="S317" s="84"/>
      <c r="X317" s="121"/>
      <c r="Y317" s="121"/>
      <c r="Z317" s="121"/>
      <c r="AA317" s="75"/>
      <c r="AB317" s="75"/>
      <c r="AC317" s="76"/>
      <c r="AD317" s="69"/>
      <c r="AE317" s="69"/>
      <c r="AG317" s="67"/>
    </row>
    <row r="318" spans="1:33" s="73" customFormat="1" outlineLevel="1">
      <c r="A318" s="83"/>
      <c r="B318" s="84"/>
      <c r="C318" s="84"/>
      <c r="D318" s="123"/>
      <c r="E318" s="125"/>
      <c r="F318" s="125"/>
      <c r="G318" s="125"/>
      <c r="H318" s="125"/>
      <c r="I318" s="125"/>
      <c r="J318" s="125"/>
      <c r="K318" s="125"/>
      <c r="L318" s="84"/>
      <c r="M318" s="84"/>
      <c r="N318" s="89"/>
      <c r="O318" s="84"/>
      <c r="P318" s="84"/>
      <c r="Q318" s="84"/>
      <c r="R318" s="84"/>
      <c r="S318" s="84"/>
      <c r="X318" s="121"/>
      <c r="Y318" s="121"/>
      <c r="Z318" s="121"/>
      <c r="AA318" s="75"/>
      <c r="AB318" s="75"/>
      <c r="AC318" s="76"/>
      <c r="AD318" s="69"/>
      <c r="AE318" s="69"/>
      <c r="AG318" s="67"/>
    </row>
    <row r="319" spans="1:33" s="73" customFormat="1" outlineLevel="1">
      <c r="A319" s="83"/>
      <c r="B319" s="84"/>
      <c r="C319" s="84"/>
      <c r="D319" s="123"/>
      <c r="E319" s="125"/>
      <c r="F319" s="125"/>
      <c r="G319" s="125"/>
      <c r="H319" s="125"/>
      <c r="I319" s="125"/>
      <c r="J319" s="125"/>
      <c r="K319" s="125"/>
      <c r="L319" s="84"/>
      <c r="M319" s="84"/>
      <c r="N319" s="89"/>
      <c r="O319" s="84"/>
      <c r="P319" s="84"/>
      <c r="Q319" s="84"/>
      <c r="R319" s="84"/>
      <c r="S319" s="84"/>
      <c r="X319" s="121"/>
      <c r="Y319" s="121"/>
      <c r="Z319" s="121"/>
      <c r="AA319" s="75"/>
      <c r="AB319" s="75"/>
      <c r="AC319" s="76"/>
      <c r="AD319" s="69"/>
      <c r="AE319" s="69"/>
      <c r="AG319" s="67"/>
    </row>
    <row r="320" spans="1:33" s="73" customFormat="1" outlineLevel="1">
      <c r="A320" s="83"/>
      <c r="B320" s="84"/>
      <c r="C320" s="84"/>
      <c r="D320" s="123"/>
      <c r="E320" s="125"/>
      <c r="F320" s="125"/>
      <c r="G320" s="125"/>
      <c r="H320" s="125"/>
      <c r="I320" s="125"/>
      <c r="J320" s="125"/>
      <c r="K320" s="125"/>
      <c r="L320" s="84"/>
      <c r="M320" s="84"/>
      <c r="N320" s="89"/>
      <c r="O320" s="84"/>
      <c r="P320" s="84"/>
      <c r="Q320" s="84"/>
      <c r="R320" s="84"/>
      <c r="S320" s="84"/>
      <c r="X320" s="121"/>
      <c r="Y320" s="121"/>
      <c r="Z320" s="121"/>
      <c r="AA320" s="75"/>
      <c r="AB320" s="75"/>
      <c r="AC320" s="76"/>
      <c r="AD320" s="69"/>
      <c r="AE320" s="69"/>
      <c r="AG320" s="67"/>
    </row>
    <row r="321" spans="1:33" s="73" customFormat="1" outlineLevel="1">
      <c r="A321" s="83"/>
      <c r="B321" s="84"/>
      <c r="C321" s="84"/>
      <c r="D321" s="123"/>
      <c r="E321" s="125"/>
      <c r="F321" s="125"/>
      <c r="G321" s="125"/>
      <c r="H321" s="125"/>
      <c r="I321" s="125"/>
      <c r="J321" s="125"/>
      <c r="K321" s="125"/>
      <c r="L321" s="84"/>
      <c r="M321" s="84"/>
      <c r="N321" s="89"/>
      <c r="O321" s="84"/>
      <c r="P321" s="84"/>
      <c r="Q321" s="84"/>
      <c r="R321" s="84"/>
      <c r="S321" s="84"/>
      <c r="X321" s="121"/>
      <c r="Y321" s="121"/>
      <c r="Z321" s="121"/>
      <c r="AA321" s="75"/>
      <c r="AB321" s="75"/>
      <c r="AC321" s="76"/>
      <c r="AD321" s="69"/>
      <c r="AE321" s="69"/>
      <c r="AG321" s="67"/>
    </row>
    <row r="322" spans="1:33" s="73" customFormat="1" outlineLevel="1">
      <c r="A322" s="83"/>
      <c r="B322" s="84"/>
      <c r="C322" s="84"/>
      <c r="D322" s="123"/>
      <c r="E322" s="125"/>
      <c r="F322" s="125"/>
      <c r="G322" s="125"/>
      <c r="H322" s="125"/>
      <c r="I322" s="125"/>
      <c r="J322" s="125"/>
      <c r="K322" s="125"/>
      <c r="L322" s="84"/>
      <c r="M322" s="84"/>
      <c r="N322" s="89"/>
      <c r="O322" s="84"/>
      <c r="P322" s="84"/>
      <c r="Q322" s="84"/>
      <c r="R322" s="84"/>
      <c r="S322" s="84"/>
      <c r="X322" s="121"/>
      <c r="Y322" s="121"/>
      <c r="Z322" s="121"/>
      <c r="AA322" s="75"/>
      <c r="AB322" s="75"/>
      <c r="AC322" s="76"/>
      <c r="AD322" s="69"/>
      <c r="AE322" s="69"/>
      <c r="AG322" s="67"/>
    </row>
    <row r="323" spans="1:33" s="73" customFormat="1" outlineLevel="1">
      <c r="A323" s="83"/>
      <c r="B323" s="84"/>
      <c r="C323" s="84"/>
      <c r="D323" s="123"/>
      <c r="E323" s="125"/>
      <c r="F323" s="125"/>
      <c r="G323" s="125"/>
      <c r="H323" s="125"/>
      <c r="I323" s="125"/>
      <c r="J323" s="125"/>
      <c r="K323" s="125"/>
      <c r="L323" s="84"/>
      <c r="M323" s="84"/>
      <c r="N323" s="89"/>
      <c r="O323" s="84"/>
      <c r="P323" s="84"/>
      <c r="Q323" s="84"/>
      <c r="R323" s="84"/>
      <c r="S323" s="84"/>
      <c r="X323" s="121"/>
      <c r="Y323" s="121"/>
      <c r="Z323" s="121"/>
      <c r="AA323" s="75"/>
      <c r="AB323" s="75"/>
      <c r="AC323" s="76"/>
      <c r="AD323" s="69"/>
      <c r="AE323" s="69"/>
      <c r="AG323" s="67"/>
    </row>
    <row r="324" spans="1:33" s="73" customFormat="1" outlineLevel="1">
      <c r="A324" s="83"/>
      <c r="B324" s="84"/>
      <c r="C324" s="84"/>
      <c r="D324" s="123"/>
      <c r="E324" s="125"/>
      <c r="F324" s="125"/>
      <c r="G324" s="125"/>
      <c r="H324" s="125"/>
      <c r="I324" s="125"/>
      <c r="J324" s="125"/>
      <c r="K324" s="125"/>
      <c r="L324" s="84"/>
      <c r="M324" s="84"/>
      <c r="N324" s="89"/>
      <c r="O324" s="84"/>
      <c r="P324" s="84"/>
      <c r="Q324" s="84"/>
      <c r="R324" s="84"/>
      <c r="S324" s="84"/>
      <c r="X324" s="121"/>
      <c r="Y324" s="121"/>
      <c r="Z324" s="121"/>
      <c r="AA324" s="75"/>
      <c r="AB324" s="75"/>
      <c r="AC324" s="76"/>
      <c r="AD324" s="69"/>
      <c r="AE324" s="69"/>
      <c r="AG324" s="67"/>
    </row>
    <row r="325" spans="1:33" s="73" customFormat="1" outlineLevel="1">
      <c r="A325" s="83"/>
      <c r="B325" s="84"/>
      <c r="C325" s="84"/>
      <c r="D325" s="123"/>
      <c r="E325" s="125"/>
      <c r="F325" s="125"/>
      <c r="G325" s="125"/>
      <c r="H325" s="125"/>
      <c r="I325" s="125"/>
      <c r="J325" s="125"/>
      <c r="K325" s="125"/>
      <c r="L325" s="84"/>
      <c r="M325" s="84"/>
      <c r="N325" s="89"/>
      <c r="O325" s="84"/>
      <c r="P325" s="84"/>
      <c r="Q325" s="84"/>
      <c r="R325" s="84"/>
      <c r="S325" s="84"/>
      <c r="X325" s="121"/>
      <c r="Y325" s="121"/>
      <c r="Z325" s="121"/>
      <c r="AA325" s="75"/>
      <c r="AB325" s="75"/>
      <c r="AC325" s="76"/>
      <c r="AD325" s="69"/>
      <c r="AE325" s="69"/>
      <c r="AG325" s="67"/>
    </row>
    <row r="326" spans="1:33" s="73" customFormat="1" outlineLevel="1">
      <c r="A326" s="83"/>
      <c r="B326" s="84"/>
      <c r="C326" s="84"/>
      <c r="D326" s="123"/>
      <c r="E326" s="125"/>
      <c r="F326" s="125"/>
      <c r="G326" s="125"/>
      <c r="H326" s="125"/>
      <c r="I326" s="125"/>
      <c r="J326" s="125"/>
      <c r="K326" s="125"/>
      <c r="L326" s="84"/>
      <c r="M326" s="84"/>
      <c r="N326" s="89"/>
      <c r="O326" s="84"/>
      <c r="P326" s="84"/>
      <c r="Q326" s="84"/>
      <c r="R326" s="84"/>
      <c r="S326" s="84"/>
      <c r="X326" s="121"/>
      <c r="Y326" s="121"/>
      <c r="Z326" s="121"/>
      <c r="AA326" s="75"/>
      <c r="AB326" s="75"/>
      <c r="AC326" s="76"/>
      <c r="AD326" s="69"/>
      <c r="AE326" s="69"/>
      <c r="AG326" s="67"/>
    </row>
    <row r="327" spans="1:33" s="73" customFormat="1" outlineLevel="1">
      <c r="A327" s="83"/>
      <c r="B327" s="84"/>
      <c r="C327" s="84"/>
      <c r="D327" s="123"/>
      <c r="E327" s="125"/>
      <c r="F327" s="125"/>
      <c r="G327" s="125"/>
      <c r="H327" s="125"/>
      <c r="I327" s="125"/>
      <c r="J327" s="125"/>
      <c r="K327" s="125"/>
      <c r="L327" s="84"/>
      <c r="M327" s="84"/>
      <c r="N327" s="89"/>
      <c r="O327" s="84"/>
      <c r="P327" s="84"/>
      <c r="Q327" s="84"/>
      <c r="R327" s="84"/>
      <c r="S327" s="84"/>
      <c r="X327" s="121"/>
      <c r="Y327" s="121"/>
      <c r="Z327" s="121"/>
      <c r="AA327" s="75"/>
      <c r="AB327" s="75"/>
      <c r="AC327" s="76"/>
      <c r="AD327" s="69"/>
      <c r="AE327" s="69"/>
      <c r="AG327" s="67"/>
    </row>
    <row r="328" spans="1:33" s="73" customFormat="1" outlineLevel="1">
      <c r="A328" s="83"/>
      <c r="B328" s="84"/>
      <c r="C328" s="84"/>
      <c r="D328" s="123"/>
      <c r="E328" s="125"/>
      <c r="F328" s="125"/>
      <c r="G328" s="125"/>
      <c r="H328" s="125"/>
      <c r="I328" s="125"/>
      <c r="J328" s="125"/>
      <c r="K328" s="125"/>
      <c r="L328" s="84"/>
      <c r="M328" s="84"/>
      <c r="N328" s="89"/>
      <c r="O328" s="84"/>
      <c r="P328" s="84"/>
      <c r="Q328" s="84"/>
      <c r="R328" s="84"/>
      <c r="S328" s="84"/>
      <c r="X328" s="121"/>
      <c r="Y328" s="121"/>
      <c r="Z328" s="121"/>
      <c r="AA328" s="75"/>
      <c r="AB328" s="75"/>
      <c r="AC328" s="76"/>
      <c r="AD328" s="69"/>
      <c r="AE328" s="69"/>
      <c r="AG328" s="67"/>
    </row>
    <row r="329" spans="1:33" s="73" customFormat="1" outlineLevel="1">
      <c r="A329" s="83"/>
      <c r="B329" s="84"/>
      <c r="C329" s="84"/>
      <c r="D329" s="123"/>
      <c r="E329" s="125"/>
      <c r="F329" s="125"/>
      <c r="G329" s="125"/>
      <c r="H329" s="125"/>
      <c r="I329" s="125"/>
      <c r="J329" s="125"/>
      <c r="K329" s="125"/>
      <c r="L329" s="84"/>
      <c r="M329" s="84"/>
      <c r="N329" s="89"/>
      <c r="O329" s="84"/>
      <c r="P329" s="84"/>
      <c r="Q329" s="84"/>
      <c r="R329" s="84"/>
      <c r="S329" s="84"/>
      <c r="X329" s="121"/>
      <c r="Y329" s="121"/>
      <c r="Z329" s="121"/>
      <c r="AA329" s="75"/>
      <c r="AB329" s="75"/>
      <c r="AC329" s="76"/>
      <c r="AD329" s="69"/>
      <c r="AE329" s="69"/>
      <c r="AG329" s="67"/>
    </row>
    <row r="330" spans="1:33" s="73" customFormat="1" outlineLevel="1">
      <c r="A330" s="83"/>
      <c r="B330" s="84"/>
      <c r="C330" s="84"/>
      <c r="D330" s="123"/>
      <c r="E330" s="125"/>
      <c r="F330" s="125"/>
      <c r="G330" s="125"/>
      <c r="H330" s="125"/>
      <c r="I330" s="125"/>
      <c r="J330" s="125"/>
      <c r="K330" s="125"/>
      <c r="L330" s="84"/>
      <c r="M330" s="84"/>
      <c r="N330" s="89"/>
      <c r="O330" s="84"/>
      <c r="P330" s="84"/>
      <c r="Q330" s="84"/>
      <c r="R330" s="84"/>
      <c r="S330" s="84"/>
      <c r="X330" s="121"/>
      <c r="Y330" s="121"/>
      <c r="Z330" s="121"/>
      <c r="AA330" s="75"/>
      <c r="AB330" s="75"/>
      <c r="AC330" s="76"/>
      <c r="AD330" s="69"/>
      <c r="AE330" s="69"/>
      <c r="AG330" s="67"/>
    </row>
    <row r="331" spans="1:33" s="73" customFormat="1" outlineLevel="1">
      <c r="A331" s="83"/>
      <c r="B331" s="84"/>
      <c r="C331" s="84"/>
      <c r="D331" s="123"/>
      <c r="E331" s="125"/>
      <c r="F331" s="125"/>
      <c r="G331" s="125"/>
      <c r="H331" s="125"/>
      <c r="I331" s="125"/>
      <c r="J331" s="125"/>
      <c r="K331" s="125"/>
      <c r="L331" s="84"/>
      <c r="M331" s="84"/>
      <c r="N331" s="89"/>
      <c r="O331" s="84"/>
      <c r="P331" s="84"/>
      <c r="Q331" s="84"/>
      <c r="R331" s="84"/>
      <c r="S331" s="84"/>
      <c r="X331" s="121"/>
      <c r="Y331" s="121"/>
      <c r="Z331" s="121"/>
      <c r="AA331" s="75"/>
      <c r="AB331" s="75"/>
      <c r="AC331" s="76"/>
      <c r="AD331" s="69"/>
      <c r="AE331" s="69"/>
      <c r="AG331" s="67"/>
    </row>
    <row r="332" spans="1:33" s="73" customFormat="1" outlineLevel="1">
      <c r="A332" s="83"/>
      <c r="B332" s="84"/>
      <c r="C332" s="84"/>
      <c r="D332" s="123"/>
      <c r="E332" s="125"/>
      <c r="F332" s="125"/>
      <c r="G332" s="125"/>
      <c r="H332" s="125"/>
      <c r="I332" s="125"/>
      <c r="J332" s="125"/>
      <c r="K332" s="125"/>
      <c r="L332" s="84"/>
      <c r="M332" s="84"/>
      <c r="N332" s="89"/>
      <c r="O332" s="84"/>
      <c r="P332" s="84"/>
      <c r="Q332" s="84"/>
      <c r="R332" s="84"/>
      <c r="S332" s="84"/>
      <c r="X332" s="121"/>
      <c r="Y332" s="121"/>
      <c r="Z332" s="121"/>
      <c r="AA332" s="75"/>
      <c r="AB332" s="75"/>
      <c r="AC332" s="76"/>
      <c r="AD332" s="69"/>
      <c r="AE332" s="69"/>
      <c r="AG332" s="67"/>
    </row>
    <row r="333" spans="1:33" s="73" customFormat="1" outlineLevel="1">
      <c r="A333" s="83"/>
      <c r="B333" s="84"/>
      <c r="C333" s="84"/>
      <c r="D333" s="123"/>
      <c r="E333" s="125"/>
      <c r="F333" s="125"/>
      <c r="G333" s="125"/>
      <c r="H333" s="125"/>
      <c r="I333" s="125"/>
      <c r="J333" s="125"/>
      <c r="K333" s="125"/>
      <c r="L333" s="84"/>
      <c r="M333" s="84"/>
      <c r="N333" s="89"/>
      <c r="O333" s="84"/>
      <c r="P333" s="84"/>
      <c r="Q333" s="84"/>
      <c r="R333" s="84"/>
      <c r="S333" s="84"/>
      <c r="X333" s="121"/>
      <c r="Y333" s="121"/>
      <c r="Z333" s="121"/>
      <c r="AA333" s="75"/>
      <c r="AB333" s="75"/>
      <c r="AC333" s="76"/>
      <c r="AD333" s="69"/>
      <c r="AE333" s="69"/>
      <c r="AG333" s="67"/>
    </row>
    <row r="334" spans="1:33" s="73" customFormat="1" outlineLevel="1">
      <c r="A334" s="83"/>
      <c r="B334" s="84"/>
      <c r="C334" s="84"/>
      <c r="D334" s="123"/>
      <c r="E334" s="125"/>
      <c r="F334" s="125"/>
      <c r="G334" s="125"/>
      <c r="H334" s="125"/>
      <c r="I334" s="125"/>
      <c r="J334" s="125"/>
      <c r="K334" s="125"/>
      <c r="L334" s="84"/>
      <c r="M334" s="84"/>
      <c r="N334" s="89"/>
      <c r="O334" s="84"/>
      <c r="P334" s="84"/>
      <c r="Q334" s="84"/>
      <c r="R334" s="84"/>
      <c r="S334" s="84"/>
      <c r="X334" s="121"/>
      <c r="Y334" s="121"/>
      <c r="Z334" s="121"/>
      <c r="AA334" s="75"/>
      <c r="AB334" s="75"/>
      <c r="AC334" s="76"/>
      <c r="AD334" s="69"/>
      <c r="AE334" s="69"/>
      <c r="AG334" s="67"/>
    </row>
    <row r="335" spans="1:33" s="73" customFormat="1" outlineLevel="1">
      <c r="A335" s="83"/>
      <c r="B335" s="84"/>
      <c r="C335" s="84"/>
      <c r="D335" s="123"/>
      <c r="E335" s="125"/>
      <c r="F335" s="125"/>
      <c r="G335" s="125"/>
      <c r="H335" s="125"/>
      <c r="I335" s="125"/>
      <c r="J335" s="125"/>
      <c r="K335" s="125"/>
      <c r="L335" s="84"/>
      <c r="M335" s="84"/>
      <c r="N335" s="89"/>
      <c r="O335" s="84"/>
      <c r="P335" s="84"/>
      <c r="Q335" s="84"/>
      <c r="R335" s="84"/>
      <c r="S335" s="84"/>
      <c r="X335" s="121"/>
      <c r="Y335" s="121"/>
      <c r="Z335" s="121"/>
      <c r="AA335" s="75"/>
      <c r="AB335" s="75"/>
      <c r="AC335" s="76"/>
      <c r="AD335" s="69"/>
      <c r="AE335" s="69"/>
      <c r="AG335" s="67"/>
    </row>
    <row r="336" spans="1:33" s="73" customFormat="1" outlineLevel="1">
      <c r="A336" s="83"/>
      <c r="B336" s="84"/>
      <c r="C336" s="84"/>
      <c r="D336" s="123"/>
      <c r="E336" s="125"/>
      <c r="F336" s="125"/>
      <c r="G336" s="125"/>
      <c r="H336" s="125"/>
      <c r="I336" s="125"/>
      <c r="J336" s="125"/>
      <c r="K336" s="125"/>
      <c r="L336" s="84"/>
      <c r="M336" s="84"/>
      <c r="N336" s="89"/>
      <c r="O336" s="84"/>
      <c r="P336" s="84"/>
      <c r="Q336" s="84"/>
      <c r="R336" s="84"/>
      <c r="S336" s="84"/>
      <c r="X336" s="121"/>
      <c r="Y336" s="121"/>
      <c r="Z336" s="121"/>
      <c r="AA336" s="75"/>
      <c r="AB336" s="75"/>
      <c r="AC336" s="76"/>
      <c r="AD336" s="69"/>
      <c r="AE336" s="69"/>
      <c r="AG336" s="67"/>
    </row>
    <row r="337" spans="1:33" s="73" customFormat="1" outlineLevel="1">
      <c r="A337" s="83"/>
      <c r="B337" s="84"/>
      <c r="C337" s="84"/>
      <c r="D337" s="123"/>
      <c r="E337" s="125"/>
      <c r="F337" s="125"/>
      <c r="G337" s="125"/>
      <c r="H337" s="125"/>
      <c r="I337" s="125"/>
      <c r="J337" s="125"/>
      <c r="K337" s="125"/>
      <c r="L337" s="84"/>
      <c r="M337" s="84"/>
      <c r="N337" s="89"/>
      <c r="O337" s="84"/>
      <c r="P337" s="84"/>
      <c r="Q337" s="84"/>
      <c r="R337" s="84"/>
      <c r="S337" s="84"/>
      <c r="X337" s="121"/>
      <c r="Y337" s="121"/>
      <c r="Z337" s="121"/>
      <c r="AA337" s="75"/>
      <c r="AB337" s="75"/>
      <c r="AC337" s="76"/>
      <c r="AD337" s="69"/>
      <c r="AE337" s="69"/>
      <c r="AG337" s="67"/>
    </row>
    <row r="338" spans="1:33" s="73" customFormat="1" outlineLevel="1">
      <c r="A338" s="83"/>
      <c r="B338" s="84"/>
      <c r="C338" s="84"/>
      <c r="D338" s="123"/>
      <c r="E338" s="125"/>
      <c r="F338" s="125"/>
      <c r="G338" s="125"/>
      <c r="H338" s="125"/>
      <c r="I338" s="125"/>
      <c r="J338" s="125"/>
      <c r="K338" s="125"/>
      <c r="L338" s="84"/>
      <c r="M338" s="84"/>
      <c r="N338" s="89"/>
      <c r="O338" s="84"/>
      <c r="P338" s="84"/>
      <c r="Q338" s="84"/>
      <c r="R338" s="84"/>
      <c r="S338" s="84"/>
      <c r="X338" s="121"/>
      <c r="Y338" s="121"/>
      <c r="Z338" s="121"/>
      <c r="AA338" s="75"/>
      <c r="AB338" s="75"/>
      <c r="AC338" s="76"/>
      <c r="AD338" s="69"/>
      <c r="AE338" s="69"/>
      <c r="AG338" s="67"/>
    </row>
    <row r="339" spans="1:33" s="73" customFormat="1" outlineLevel="1">
      <c r="A339" s="83"/>
      <c r="B339" s="84"/>
      <c r="C339" s="84"/>
      <c r="D339" s="123"/>
      <c r="E339" s="125"/>
      <c r="F339" s="125"/>
      <c r="G339" s="125"/>
      <c r="H339" s="125"/>
      <c r="I339" s="125"/>
      <c r="J339" s="125"/>
      <c r="K339" s="125"/>
      <c r="L339" s="84"/>
      <c r="M339" s="84"/>
      <c r="N339" s="89"/>
      <c r="O339" s="84"/>
      <c r="P339" s="84"/>
      <c r="Q339" s="84"/>
      <c r="R339" s="84"/>
      <c r="S339" s="84"/>
      <c r="X339" s="121"/>
      <c r="Y339" s="121"/>
      <c r="Z339" s="121"/>
      <c r="AA339" s="75"/>
      <c r="AB339" s="75"/>
      <c r="AC339" s="76"/>
      <c r="AD339" s="69"/>
      <c r="AE339" s="69"/>
      <c r="AG339" s="67"/>
    </row>
    <row r="340" spans="1:33" s="73" customFormat="1" outlineLevel="1">
      <c r="A340" s="83"/>
      <c r="B340" s="84"/>
      <c r="C340" s="84"/>
      <c r="D340" s="123"/>
      <c r="E340" s="125"/>
      <c r="F340" s="125"/>
      <c r="G340" s="125"/>
      <c r="H340" s="125"/>
      <c r="I340" s="125"/>
      <c r="J340" s="125"/>
      <c r="K340" s="125"/>
      <c r="L340" s="84"/>
      <c r="M340" s="84"/>
      <c r="N340" s="89"/>
      <c r="O340" s="84"/>
      <c r="P340" s="84"/>
      <c r="Q340" s="84"/>
      <c r="R340" s="84"/>
      <c r="S340" s="84"/>
      <c r="X340" s="121"/>
      <c r="Y340" s="121"/>
      <c r="Z340" s="121"/>
      <c r="AA340" s="75"/>
      <c r="AB340" s="75"/>
      <c r="AC340" s="76"/>
      <c r="AD340" s="69"/>
      <c r="AE340" s="69"/>
      <c r="AG340" s="67"/>
    </row>
    <row r="341" spans="1:33" s="73" customFormat="1" outlineLevel="1">
      <c r="A341" s="83"/>
      <c r="B341" s="84"/>
      <c r="C341" s="84"/>
      <c r="D341" s="123"/>
      <c r="E341" s="125"/>
      <c r="F341" s="125"/>
      <c r="G341" s="125"/>
      <c r="H341" s="125"/>
      <c r="I341" s="125"/>
      <c r="J341" s="125"/>
      <c r="K341" s="125"/>
      <c r="L341" s="84"/>
      <c r="M341" s="84"/>
      <c r="N341" s="89"/>
      <c r="O341" s="84"/>
      <c r="P341" s="84"/>
      <c r="Q341" s="84"/>
      <c r="R341" s="84"/>
      <c r="S341" s="84"/>
      <c r="X341" s="121"/>
      <c r="Y341" s="121"/>
      <c r="Z341" s="121"/>
      <c r="AA341" s="75"/>
      <c r="AB341" s="75"/>
      <c r="AC341" s="76"/>
      <c r="AD341" s="69"/>
      <c r="AE341" s="69"/>
      <c r="AG341" s="67"/>
    </row>
    <row r="342" spans="1:33" s="73" customFormat="1" outlineLevel="1">
      <c r="A342" s="83"/>
      <c r="B342" s="84"/>
      <c r="C342" s="84"/>
      <c r="D342" s="123"/>
      <c r="E342" s="125"/>
      <c r="F342" s="125"/>
      <c r="G342" s="125"/>
      <c r="H342" s="125"/>
      <c r="I342" s="125"/>
      <c r="J342" s="125"/>
      <c r="K342" s="125"/>
      <c r="L342" s="84"/>
      <c r="M342" s="84"/>
      <c r="N342" s="89"/>
      <c r="O342" s="84"/>
      <c r="P342" s="84"/>
      <c r="Q342" s="84"/>
      <c r="R342" s="84"/>
      <c r="S342" s="84"/>
      <c r="X342" s="121"/>
      <c r="Y342" s="121"/>
      <c r="Z342" s="121"/>
      <c r="AA342" s="75"/>
      <c r="AB342" s="75"/>
      <c r="AC342" s="76"/>
      <c r="AD342" s="69"/>
      <c r="AE342" s="69"/>
      <c r="AG342" s="67"/>
    </row>
    <row r="343" spans="1:33" s="73" customFormat="1" outlineLevel="1">
      <c r="A343" s="83"/>
      <c r="B343" s="84"/>
      <c r="C343" s="84"/>
      <c r="D343" s="123"/>
      <c r="E343" s="125"/>
      <c r="F343" s="125"/>
      <c r="G343" s="125"/>
      <c r="H343" s="125"/>
      <c r="I343" s="125"/>
      <c r="J343" s="125"/>
      <c r="K343" s="125"/>
      <c r="L343" s="84"/>
      <c r="M343" s="84"/>
      <c r="N343" s="89"/>
      <c r="O343" s="84"/>
      <c r="P343" s="84"/>
      <c r="Q343" s="84"/>
      <c r="R343" s="84"/>
      <c r="S343" s="84"/>
      <c r="X343" s="121"/>
      <c r="Y343" s="121"/>
      <c r="Z343" s="121"/>
      <c r="AA343" s="75"/>
      <c r="AB343" s="75"/>
      <c r="AC343" s="76"/>
      <c r="AD343" s="69"/>
      <c r="AE343" s="69"/>
      <c r="AG343" s="67"/>
    </row>
    <row r="344" spans="1:33" s="73" customFormat="1" outlineLevel="1">
      <c r="A344" s="83"/>
      <c r="B344" s="84"/>
      <c r="C344" s="84"/>
      <c r="D344" s="123"/>
      <c r="E344" s="125"/>
      <c r="F344" s="125"/>
      <c r="G344" s="125"/>
      <c r="H344" s="125"/>
      <c r="I344" s="125"/>
      <c r="J344" s="125"/>
      <c r="K344" s="125"/>
      <c r="L344" s="84"/>
      <c r="M344" s="84"/>
      <c r="N344" s="89"/>
      <c r="O344" s="84"/>
      <c r="P344" s="84"/>
      <c r="Q344" s="84"/>
      <c r="R344" s="84"/>
      <c r="S344" s="84"/>
      <c r="X344" s="121"/>
      <c r="Y344" s="121"/>
      <c r="Z344" s="121"/>
      <c r="AA344" s="75"/>
      <c r="AB344" s="75"/>
      <c r="AC344" s="76"/>
      <c r="AD344" s="69"/>
      <c r="AE344" s="69"/>
      <c r="AG344" s="67"/>
    </row>
    <row r="345" spans="1:33" s="73" customFormat="1" outlineLevel="1">
      <c r="A345" s="83"/>
      <c r="B345" s="84"/>
      <c r="C345" s="84"/>
      <c r="D345" s="123"/>
      <c r="E345" s="125"/>
      <c r="F345" s="125"/>
      <c r="G345" s="125"/>
      <c r="H345" s="125"/>
      <c r="I345" s="125"/>
      <c r="J345" s="125"/>
      <c r="K345" s="125"/>
      <c r="L345" s="84"/>
      <c r="M345" s="84"/>
      <c r="N345" s="89"/>
      <c r="O345" s="84"/>
      <c r="P345" s="84"/>
      <c r="Q345" s="84"/>
      <c r="R345" s="84"/>
      <c r="S345" s="84"/>
      <c r="X345" s="121"/>
      <c r="Y345" s="121"/>
      <c r="Z345" s="121"/>
      <c r="AA345" s="75"/>
      <c r="AB345" s="75"/>
      <c r="AC345" s="76"/>
      <c r="AD345" s="69"/>
      <c r="AE345" s="69"/>
      <c r="AG345" s="67"/>
    </row>
    <row r="346" spans="1:33" s="73" customFormat="1" outlineLevel="1">
      <c r="A346" s="83"/>
      <c r="B346" s="84"/>
      <c r="C346" s="84"/>
      <c r="D346" s="123"/>
      <c r="E346" s="125"/>
      <c r="F346" s="125"/>
      <c r="G346" s="125"/>
      <c r="H346" s="125"/>
      <c r="I346" s="125"/>
      <c r="J346" s="125"/>
      <c r="K346" s="125"/>
      <c r="L346" s="84"/>
      <c r="M346" s="84"/>
      <c r="N346" s="89"/>
      <c r="O346" s="84"/>
      <c r="P346" s="84"/>
      <c r="Q346" s="84"/>
      <c r="R346" s="84"/>
      <c r="S346" s="84"/>
      <c r="X346" s="121"/>
      <c r="Y346" s="121"/>
      <c r="Z346" s="121"/>
      <c r="AA346" s="75"/>
      <c r="AB346" s="75"/>
      <c r="AC346" s="76"/>
      <c r="AD346" s="69"/>
      <c r="AE346" s="69"/>
      <c r="AG346" s="67"/>
    </row>
    <row r="347" spans="1:33" s="73" customFormat="1" outlineLevel="1">
      <c r="A347" s="83"/>
      <c r="B347" s="84"/>
      <c r="C347" s="84"/>
      <c r="D347" s="123"/>
      <c r="E347" s="125"/>
      <c r="F347" s="125"/>
      <c r="G347" s="125"/>
      <c r="H347" s="125"/>
      <c r="I347" s="125"/>
      <c r="J347" s="125"/>
      <c r="K347" s="125"/>
      <c r="L347" s="84"/>
      <c r="M347" s="84"/>
      <c r="N347" s="89"/>
      <c r="O347" s="84"/>
      <c r="P347" s="84"/>
      <c r="Q347" s="84"/>
      <c r="R347" s="84"/>
      <c r="S347" s="84"/>
      <c r="X347" s="121"/>
      <c r="Y347" s="121"/>
      <c r="Z347" s="121"/>
      <c r="AA347" s="75"/>
      <c r="AB347" s="75"/>
      <c r="AC347" s="76"/>
      <c r="AD347" s="69"/>
      <c r="AE347" s="69"/>
      <c r="AG347" s="67"/>
    </row>
    <row r="348" spans="1:33" s="73" customFormat="1" outlineLevel="1">
      <c r="A348" s="83"/>
      <c r="B348" s="84"/>
      <c r="C348" s="84"/>
      <c r="D348" s="123"/>
      <c r="E348" s="125"/>
      <c r="F348" s="125"/>
      <c r="G348" s="125"/>
      <c r="H348" s="125"/>
      <c r="I348" s="125"/>
      <c r="J348" s="125"/>
      <c r="K348" s="125"/>
      <c r="L348" s="84"/>
      <c r="M348" s="84"/>
      <c r="N348" s="89"/>
      <c r="O348" s="84"/>
      <c r="P348" s="84"/>
      <c r="Q348" s="84"/>
      <c r="R348" s="84"/>
      <c r="S348" s="84"/>
      <c r="X348" s="121"/>
      <c r="Y348" s="121"/>
      <c r="Z348" s="121"/>
      <c r="AA348" s="75"/>
      <c r="AB348" s="75"/>
      <c r="AC348" s="76"/>
      <c r="AD348" s="69"/>
      <c r="AE348" s="69"/>
      <c r="AG348" s="67"/>
    </row>
    <row r="349" spans="1:33" s="73" customFormat="1" outlineLevel="1">
      <c r="A349" s="83"/>
      <c r="B349" s="84"/>
      <c r="C349" s="84"/>
      <c r="D349" s="123"/>
      <c r="E349" s="125"/>
      <c r="F349" s="125"/>
      <c r="G349" s="125"/>
      <c r="H349" s="125"/>
      <c r="I349" s="125"/>
      <c r="J349" s="125"/>
      <c r="K349" s="125"/>
      <c r="L349" s="84"/>
      <c r="M349" s="84"/>
      <c r="N349" s="89"/>
      <c r="O349" s="84"/>
      <c r="P349" s="84"/>
      <c r="Q349" s="84"/>
      <c r="R349" s="84"/>
      <c r="S349" s="84"/>
      <c r="X349" s="121"/>
      <c r="Y349" s="121"/>
      <c r="Z349" s="121"/>
      <c r="AA349" s="75"/>
      <c r="AB349" s="75"/>
      <c r="AC349" s="76"/>
      <c r="AD349" s="69"/>
      <c r="AE349" s="69"/>
      <c r="AG349" s="67"/>
    </row>
    <row r="350" spans="1:33" s="73" customFormat="1" outlineLevel="1">
      <c r="A350" s="83"/>
      <c r="B350" s="84"/>
      <c r="C350" s="84"/>
      <c r="D350" s="123"/>
      <c r="E350" s="125"/>
      <c r="F350" s="125"/>
      <c r="G350" s="125"/>
      <c r="H350" s="125"/>
      <c r="I350" s="125"/>
      <c r="J350" s="125"/>
      <c r="K350" s="125"/>
      <c r="L350" s="84"/>
      <c r="M350" s="84"/>
      <c r="N350" s="89"/>
      <c r="O350" s="84"/>
      <c r="P350" s="84"/>
      <c r="Q350" s="84"/>
      <c r="R350" s="84"/>
      <c r="S350" s="84"/>
      <c r="X350" s="121"/>
      <c r="Y350" s="121"/>
      <c r="Z350" s="121"/>
      <c r="AA350" s="75"/>
      <c r="AB350" s="75"/>
      <c r="AC350" s="76"/>
      <c r="AD350" s="69"/>
      <c r="AE350" s="69"/>
      <c r="AG350" s="67"/>
    </row>
    <row r="351" spans="1:33" s="73" customFormat="1" outlineLevel="1">
      <c r="A351" s="83"/>
      <c r="B351" s="84"/>
      <c r="C351" s="84"/>
      <c r="D351" s="123"/>
      <c r="E351" s="125"/>
      <c r="F351" s="125"/>
      <c r="G351" s="125"/>
      <c r="H351" s="125"/>
      <c r="I351" s="125"/>
      <c r="J351" s="125"/>
      <c r="K351" s="125"/>
      <c r="L351" s="84"/>
      <c r="M351" s="84"/>
      <c r="N351" s="89"/>
      <c r="O351" s="84"/>
      <c r="P351" s="84"/>
      <c r="Q351" s="84"/>
      <c r="R351" s="84"/>
      <c r="S351" s="84"/>
      <c r="X351" s="121"/>
      <c r="Y351" s="121"/>
      <c r="Z351" s="121"/>
      <c r="AA351" s="75"/>
      <c r="AB351" s="75"/>
      <c r="AC351" s="76"/>
      <c r="AD351" s="69"/>
      <c r="AE351" s="69"/>
      <c r="AG351" s="67"/>
    </row>
    <row r="352" spans="1:33" s="73" customFormat="1" outlineLevel="1">
      <c r="A352" s="83"/>
      <c r="B352" s="84"/>
      <c r="C352" s="84"/>
      <c r="D352" s="123"/>
      <c r="E352" s="125"/>
      <c r="F352" s="125"/>
      <c r="G352" s="125"/>
      <c r="H352" s="125"/>
      <c r="I352" s="125"/>
      <c r="J352" s="125"/>
      <c r="K352" s="125"/>
      <c r="L352" s="84"/>
      <c r="M352" s="84"/>
      <c r="N352" s="89"/>
      <c r="O352" s="84"/>
      <c r="P352" s="84"/>
      <c r="Q352" s="84"/>
      <c r="R352" s="84"/>
      <c r="S352" s="84"/>
      <c r="X352" s="121"/>
      <c r="Y352" s="121"/>
      <c r="Z352" s="121"/>
      <c r="AA352" s="75"/>
      <c r="AB352" s="75"/>
      <c r="AC352" s="76"/>
      <c r="AD352" s="69"/>
      <c r="AE352" s="69"/>
      <c r="AG352" s="67"/>
    </row>
    <row r="353" spans="1:33" s="73" customFormat="1" outlineLevel="1">
      <c r="A353" s="83"/>
      <c r="B353" s="84"/>
      <c r="C353" s="84"/>
      <c r="D353" s="123"/>
      <c r="E353" s="125"/>
      <c r="F353" s="125"/>
      <c r="G353" s="125"/>
      <c r="H353" s="125"/>
      <c r="I353" s="125"/>
      <c r="J353" s="125"/>
      <c r="K353" s="125"/>
      <c r="L353" s="84"/>
      <c r="M353" s="84"/>
      <c r="N353" s="89"/>
      <c r="O353" s="84"/>
      <c r="P353" s="84"/>
      <c r="Q353" s="84"/>
      <c r="R353" s="84"/>
      <c r="S353" s="84"/>
      <c r="X353" s="121"/>
      <c r="Y353" s="121"/>
      <c r="Z353" s="121"/>
      <c r="AA353" s="75"/>
      <c r="AB353" s="75"/>
      <c r="AC353" s="76"/>
      <c r="AD353" s="69"/>
      <c r="AE353" s="69"/>
      <c r="AG353" s="67"/>
    </row>
    <row r="354" spans="1:33" s="73" customFormat="1" outlineLevel="1">
      <c r="A354" s="83"/>
      <c r="B354" s="84"/>
      <c r="C354" s="84"/>
      <c r="D354" s="123"/>
      <c r="E354" s="125"/>
      <c r="F354" s="125"/>
      <c r="G354" s="125"/>
      <c r="H354" s="125"/>
      <c r="I354" s="125"/>
      <c r="J354" s="125"/>
      <c r="K354" s="125"/>
      <c r="L354" s="84"/>
      <c r="M354" s="84"/>
      <c r="N354" s="89"/>
      <c r="O354" s="84"/>
      <c r="P354" s="84"/>
      <c r="Q354" s="84"/>
      <c r="R354" s="84"/>
      <c r="S354" s="84"/>
      <c r="X354" s="121"/>
      <c r="Y354" s="121"/>
      <c r="Z354" s="121"/>
      <c r="AA354" s="75"/>
      <c r="AB354" s="75"/>
      <c r="AC354" s="76"/>
      <c r="AD354" s="69"/>
      <c r="AE354" s="69"/>
      <c r="AG354" s="67"/>
    </row>
    <row r="355" spans="1:33" s="73" customFormat="1" outlineLevel="1">
      <c r="A355" s="83"/>
      <c r="B355" s="84"/>
      <c r="C355" s="84"/>
      <c r="D355" s="123"/>
      <c r="E355" s="125"/>
      <c r="F355" s="125"/>
      <c r="G355" s="125"/>
      <c r="H355" s="125"/>
      <c r="I355" s="125"/>
      <c r="J355" s="125"/>
      <c r="K355" s="125"/>
      <c r="L355" s="84"/>
      <c r="M355" s="84"/>
      <c r="N355" s="89"/>
      <c r="O355" s="84"/>
      <c r="P355" s="84"/>
      <c r="Q355" s="84"/>
      <c r="R355" s="84"/>
      <c r="S355" s="84"/>
      <c r="X355" s="121"/>
      <c r="Y355" s="121"/>
      <c r="Z355" s="121"/>
      <c r="AA355" s="75"/>
      <c r="AB355" s="75"/>
      <c r="AC355" s="76"/>
      <c r="AD355" s="69"/>
      <c r="AE355" s="69"/>
      <c r="AG355" s="67"/>
    </row>
    <row r="356" spans="1:33" s="73" customFormat="1" outlineLevel="1">
      <c r="A356" s="83"/>
      <c r="B356" s="84"/>
      <c r="C356" s="84"/>
      <c r="D356" s="123"/>
      <c r="E356" s="125"/>
      <c r="F356" s="125"/>
      <c r="G356" s="125"/>
      <c r="H356" s="125"/>
      <c r="I356" s="125"/>
      <c r="J356" s="125"/>
      <c r="K356" s="125"/>
      <c r="L356" s="84"/>
      <c r="M356" s="84"/>
      <c r="N356" s="89"/>
      <c r="O356" s="84"/>
      <c r="P356" s="84"/>
      <c r="Q356" s="84"/>
      <c r="R356" s="84"/>
      <c r="S356" s="84"/>
      <c r="X356" s="121"/>
      <c r="Y356" s="121"/>
      <c r="Z356" s="121"/>
      <c r="AA356" s="75"/>
      <c r="AB356" s="75"/>
      <c r="AC356" s="76"/>
      <c r="AD356" s="69"/>
      <c r="AE356" s="69"/>
      <c r="AG356" s="67"/>
    </row>
    <row r="357" spans="1:33" s="73" customFormat="1" outlineLevel="1">
      <c r="A357" s="83"/>
      <c r="B357" s="84"/>
      <c r="C357" s="84"/>
      <c r="D357" s="123"/>
      <c r="E357" s="125"/>
      <c r="F357" s="125"/>
      <c r="G357" s="125"/>
      <c r="H357" s="125"/>
      <c r="I357" s="125"/>
      <c r="J357" s="125"/>
      <c r="K357" s="125"/>
      <c r="L357" s="84"/>
      <c r="M357" s="84"/>
      <c r="N357" s="89"/>
      <c r="O357" s="84"/>
      <c r="P357" s="84"/>
      <c r="Q357" s="84"/>
      <c r="R357" s="84"/>
      <c r="S357" s="84"/>
      <c r="X357" s="121"/>
      <c r="Y357" s="121"/>
      <c r="Z357" s="121"/>
      <c r="AA357" s="75"/>
      <c r="AB357" s="75"/>
      <c r="AC357" s="76"/>
      <c r="AD357" s="69"/>
      <c r="AE357" s="69"/>
      <c r="AG357" s="67"/>
    </row>
    <row r="358" spans="1:33" s="73" customFormat="1" outlineLevel="1">
      <c r="A358" s="83"/>
      <c r="B358" s="84"/>
      <c r="C358" s="84"/>
      <c r="D358" s="123"/>
      <c r="E358" s="125"/>
      <c r="F358" s="125"/>
      <c r="G358" s="125"/>
      <c r="H358" s="125"/>
      <c r="I358" s="125"/>
      <c r="J358" s="125"/>
      <c r="K358" s="125"/>
      <c r="L358" s="84"/>
      <c r="M358" s="84"/>
      <c r="N358" s="89"/>
      <c r="O358" s="84"/>
      <c r="P358" s="84"/>
      <c r="Q358" s="84"/>
      <c r="R358" s="84"/>
      <c r="S358" s="84"/>
      <c r="X358" s="121"/>
      <c r="Y358" s="121"/>
      <c r="Z358" s="121"/>
      <c r="AA358" s="75"/>
      <c r="AB358" s="75"/>
      <c r="AC358" s="76"/>
      <c r="AD358" s="69"/>
      <c r="AE358" s="69"/>
      <c r="AG358" s="67"/>
    </row>
    <row r="359" spans="1:33" s="73" customFormat="1" outlineLevel="1">
      <c r="A359" s="83"/>
      <c r="B359" s="84"/>
      <c r="C359" s="84"/>
      <c r="D359" s="123"/>
      <c r="E359" s="125"/>
      <c r="F359" s="125"/>
      <c r="G359" s="125"/>
      <c r="H359" s="125"/>
      <c r="I359" s="125"/>
      <c r="J359" s="125"/>
      <c r="K359" s="125"/>
      <c r="L359" s="84"/>
      <c r="M359" s="84"/>
      <c r="N359" s="89"/>
      <c r="O359" s="84"/>
      <c r="P359" s="84"/>
      <c r="Q359" s="84"/>
      <c r="R359" s="84"/>
      <c r="S359" s="84"/>
      <c r="X359" s="121"/>
      <c r="Y359" s="121"/>
      <c r="Z359" s="121"/>
      <c r="AA359" s="75"/>
      <c r="AB359" s="75"/>
      <c r="AC359" s="76"/>
      <c r="AD359" s="69"/>
      <c r="AE359" s="69"/>
      <c r="AG359" s="67"/>
    </row>
    <row r="360" spans="1:33" s="73" customFormat="1" outlineLevel="1">
      <c r="A360" s="83"/>
      <c r="B360" s="84"/>
      <c r="C360" s="84"/>
      <c r="D360" s="123"/>
      <c r="E360" s="125"/>
      <c r="F360" s="125"/>
      <c r="G360" s="125"/>
      <c r="H360" s="125"/>
      <c r="I360" s="125"/>
      <c r="J360" s="125"/>
      <c r="K360" s="125"/>
      <c r="L360" s="84"/>
      <c r="M360" s="84"/>
      <c r="N360" s="89"/>
      <c r="O360" s="84"/>
      <c r="P360" s="84"/>
      <c r="Q360" s="84"/>
      <c r="R360" s="84"/>
      <c r="S360" s="84"/>
      <c r="X360" s="121"/>
      <c r="Y360" s="121"/>
      <c r="Z360" s="121"/>
      <c r="AA360" s="75"/>
      <c r="AB360" s="75"/>
      <c r="AC360" s="76"/>
      <c r="AD360" s="69"/>
      <c r="AE360" s="69"/>
      <c r="AG360" s="67"/>
    </row>
    <row r="361" spans="1:33" s="73" customFormat="1" outlineLevel="1">
      <c r="A361" s="83"/>
      <c r="B361" s="84"/>
      <c r="C361" s="84"/>
      <c r="D361" s="123"/>
      <c r="E361" s="125"/>
      <c r="F361" s="125"/>
      <c r="G361" s="125"/>
      <c r="H361" s="125"/>
      <c r="I361" s="125"/>
      <c r="J361" s="125"/>
      <c r="K361" s="125"/>
      <c r="L361" s="84"/>
      <c r="M361" s="84"/>
      <c r="N361" s="89"/>
      <c r="O361" s="84"/>
      <c r="P361" s="84"/>
      <c r="Q361" s="84"/>
      <c r="R361" s="84"/>
      <c r="S361" s="84"/>
      <c r="X361" s="121"/>
      <c r="Y361" s="121"/>
      <c r="Z361" s="121"/>
      <c r="AA361" s="75"/>
      <c r="AB361" s="75"/>
      <c r="AC361" s="76"/>
      <c r="AD361" s="69"/>
      <c r="AE361" s="69"/>
      <c r="AG361" s="67"/>
    </row>
    <row r="362" spans="1:33" s="73" customFormat="1" outlineLevel="1">
      <c r="A362" s="83"/>
      <c r="B362" s="84"/>
      <c r="C362" s="84"/>
      <c r="D362" s="123"/>
      <c r="E362" s="125"/>
      <c r="F362" s="125"/>
      <c r="G362" s="125"/>
      <c r="H362" s="125"/>
      <c r="I362" s="125"/>
      <c r="J362" s="125"/>
      <c r="K362" s="125"/>
      <c r="L362" s="84"/>
      <c r="M362" s="84"/>
      <c r="N362" s="89"/>
      <c r="O362" s="84"/>
      <c r="P362" s="84"/>
      <c r="Q362" s="84"/>
      <c r="R362" s="84"/>
      <c r="S362" s="84"/>
      <c r="X362" s="121"/>
      <c r="Y362" s="121"/>
      <c r="Z362" s="121"/>
      <c r="AA362" s="75"/>
      <c r="AB362" s="75"/>
      <c r="AC362" s="76"/>
      <c r="AD362" s="69"/>
      <c r="AE362" s="69"/>
      <c r="AG362" s="67"/>
    </row>
    <row r="363" spans="1:33" s="73" customFormat="1" outlineLevel="1">
      <c r="A363" s="83"/>
      <c r="B363" s="84"/>
      <c r="C363" s="84"/>
      <c r="D363" s="123"/>
      <c r="E363" s="125"/>
      <c r="F363" s="125"/>
      <c r="G363" s="125"/>
      <c r="H363" s="125"/>
      <c r="I363" s="125"/>
      <c r="J363" s="125"/>
      <c r="K363" s="125"/>
      <c r="L363" s="84"/>
      <c r="M363" s="84"/>
      <c r="N363" s="89"/>
      <c r="O363" s="84"/>
      <c r="P363" s="84"/>
      <c r="Q363" s="84"/>
      <c r="R363" s="84"/>
      <c r="S363" s="84"/>
      <c r="X363" s="121"/>
      <c r="Y363" s="121"/>
      <c r="Z363" s="121"/>
      <c r="AA363" s="75"/>
      <c r="AB363" s="75"/>
      <c r="AC363" s="76"/>
      <c r="AD363" s="69"/>
      <c r="AE363" s="69"/>
      <c r="AG363" s="67"/>
    </row>
    <row r="364" spans="1:33" s="73" customFormat="1" outlineLevel="1">
      <c r="A364" s="83"/>
      <c r="B364" s="84"/>
      <c r="C364" s="84"/>
      <c r="D364" s="123"/>
      <c r="E364" s="125"/>
      <c r="F364" s="125"/>
      <c r="G364" s="125"/>
      <c r="H364" s="125"/>
      <c r="I364" s="125"/>
      <c r="J364" s="125"/>
      <c r="K364" s="125"/>
      <c r="L364" s="84"/>
      <c r="M364" s="84"/>
      <c r="N364" s="89"/>
      <c r="O364" s="84"/>
      <c r="P364" s="84"/>
      <c r="Q364" s="84"/>
      <c r="R364" s="84"/>
      <c r="S364" s="84"/>
      <c r="X364" s="121"/>
      <c r="Y364" s="121"/>
      <c r="Z364" s="121"/>
      <c r="AA364" s="75"/>
      <c r="AB364" s="75"/>
      <c r="AC364" s="76"/>
      <c r="AD364" s="69"/>
      <c r="AE364" s="69"/>
      <c r="AG364" s="67"/>
    </row>
    <row r="365" spans="1:33" s="73" customFormat="1" outlineLevel="1">
      <c r="A365" s="83"/>
      <c r="B365" s="84"/>
      <c r="C365" s="84"/>
      <c r="D365" s="123"/>
      <c r="E365" s="125"/>
      <c r="F365" s="125"/>
      <c r="G365" s="125"/>
      <c r="H365" s="125"/>
      <c r="I365" s="125"/>
      <c r="J365" s="125"/>
      <c r="K365" s="125"/>
      <c r="L365" s="84"/>
      <c r="M365" s="84"/>
      <c r="N365" s="89"/>
      <c r="O365" s="84"/>
      <c r="P365" s="84"/>
      <c r="Q365" s="84"/>
      <c r="R365" s="84"/>
      <c r="S365" s="84"/>
      <c r="X365" s="121"/>
      <c r="Y365" s="121"/>
      <c r="Z365" s="121"/>
      <c r="AA365" s="75"/>
      <c r="AB365" s="75"/>
      <c r="AC365" s="76"/>
      <c r="AD365" s="69"/>
      <c r="AE365" s="69"/>
      <c r="AG365" s="67"/>
    </row>
    <row r="366" spans="1:33" s="73" customFormat="1" outlineLevel="1">
      <c r="A366" s="83"/>
      <c r="B366" s="84"/>
      <c r="C366" s="84"/>
      <c r="D366" s="123"/>
      <c r="E366" s="125"/>
      <c r="F366" s="125"/>
      <c r="G366" s="125"/>
      <c r="H366" s="125"/>
      <c r="I366" s="125"/>
      <c r="J366" s="125"/>
      <c r="K366" s="125"/>
      <c r="L366" s="84"/>
      <c r="M366" s="84"/>
      <c r="N366" s="89"/>
      <c r="O366" s="84"/>
      <c r="P366" s="84"/>
      <c r="Q366" s="84"/>
      <c r="R366" s="84"/>
      <c r="S366" s="84"/>
      <c r="X366" s="121"/>
      <c r="Y366" s="121"/>
      <c r="Z366" s="121"/>
      <c r="AA366" s="75"/>
      <c r="AB366" s="75"/>
      <c r="AC366" s="76"/>
      <c r="AD366" s="69"/>
      <c r="AE366" s="69"/>
      <c r="AG366" s="67"/>
    </row>
    <row r="367" spans="1:33" s="73" customFormat="1" outlineLevel="1">
      <c r="A367" s="83"/>
      <c r="B367" s="84"/>
      <c r="C367" s="84"/>
      <c r="D367" s="123"/>
      <c r="E367" s="125"/>
      <c r="F367" s="125"/>
      <c r="G367" s="125"/>
      <c r="H367" s="125"/>
      <c r="I367" s="125"/>
      <c r="J367" s="125"/>
      <c r="K367" s="125"/>
      <c r="L367" s="84"/>
      <c r="M367" s="84"/>
      <c r="N367" s="89"/>
      <c r="O367" s="84"/>
      <c r="P367" s="84"/>
      <c r="Q367" s="84"/>
      <c r="R367" s="84"/>
      <c r="S367" s="84"/>
      <c r="X367" s="121"/>
      <c r="Y367" s="121"/>
      <c r="Z367" s="121"/>
      <c r="AA367" s="75"/>
      <c r="AB367" s="75"/>
      <c r="AC367" s="76"/>
      <c r="AD367" s="69"/>
      <c r="AE367" s="69"/>
      <c r="AG367" s="67"/>
    </row>
    <row r="368" spans="1:33" s="73" customFormat="1" outlineLevel="1">
      <c r="A368" s="83"/>
      <c r="B368" s="84"/>
      <c r="C368" s="84"/>
      <c r="D368" s="123"/>
      <c r="E368" s="125"/>
      <c r="F368" s="125"/>
      <c r="G368" s="125"/>
      <c r="H368" s="125"/>
      <c r="I368" s="125"/>
      <c r="J368" s="125"/>
      <c r="K368" s="125"/>
      <c r="L368" s="84"/>
      <c r="M368" s="84"/>
      <c r="N368" s="89"/>
      <c r="O368" s="84"/>
      <c r="P368" s="84"/>
      <c r="Q368" s="84"/>
      <c r="R368" s="84"/>
      <c r="S368" s="84"/>
      <c r="X368" s="121"/>
      <c r="Y368" s="121"/>
      <c r="Z368" s="121"/>
      <c r="AA368" s="75"/>
      <c r="AB368" s="75"/>
      <c r="AC368" s="76"/>
      <c r="AD368" s="69"/>
      <c r="AE368" s="69"/>
      <c r="AG368" s="67"/>
    </row>
    <row r="369" spans="1:33" s="73" customFormat="1" outlineLevel="1">
      <c r="A369" s="83"/>
      <c r="B369" s="84"/>
      <c r="C369" s="84"/>
      <c r="D369" s="123"/>
      <c r="E369" s="125"/>
      <c r="F369" s="125"/>
      <c r="G369" s="125"/>
      <c r="H369" s="125"/>
      <c r="I369" s="125"/>
      <c r="J369" s="125"/>
      <c r="K369" s="125"/>
      <c r="L369" s="84"/>
      <c r="M369" s="84"/>
      <c r="N369" s="89"/>
      <c r="O369" s="84"/>
      <c r="P369" s="84"/>
      <c r="Q369" s="84"/>
      <c r="R369" s="84"/>
      <c r="S369" s="84"/>
      <c r="X369" s="121"/>
      <c r="Y369" s="121"/>
      <c r="Z369" s="121"/>
      <c r="AA369" s="75"/>
      <c r="AB369" s="75"/>
      <c r="AC369" s="76"/>
      <c r="AD369" s="69"/>
      <c r="AE369" s="69"/>
      <c r="AG369" s="67"/>
    </row>
    <row r="370" spans="1:33" s="73" customFormat="1" outlineLevel="1">
      <c r="A370" s="83"/>
      <c r="B370" s="84"/>
      <c r="C370" s="84"/>
      <c r="D370" s="123"/>
      <c r="E370" s="125"/>
      <c r="F370" s="125"/>
      <c r="G370" s="125"/>
      <c r="H370" s="125"/>
      <c r="I370" s="125"/>
      <c r="J370" s="125"/>
      <c r="K370" s="125"/>
      <c r="L370" s="84"/>
      <c r="M370" s="84"/>
      <c r="N370" s="89"/>
      <c r="O370" s="84"/>
      <c r="P370" s="84"/>
      <c r="Q370" s="84"/>
      <c r="R370" s="84"/>
      <c r="S370" s="84"/>
      <c r="X370" s="121"/>
      <c r="Y370" s="121"/>
      <c r="Z370" s="121"/>
      <c r="AA370" s="75"/>
      <c r="AB370" s="75"/>
      <c r="AC370" s="76"/>
      <c r="AD370" s="69"/>
      <c r="AE370" s="69"/>
      <c r="AG370" s="67"/>
    </row>
    <row r="371" spans="1:33" s="73" customFormat="1" outlineLevel="1">
      <c r="A371" s="83"/>
      <c r="B371" s="84"/>
      <c r="C371" s="84"/>
      <c r="D371" s="123"/>
      <c r="E371" s="125"/>
      <c r="F371" s="125"/>
      <c r="G371" s="125"/>
      <c r="H371" s="125"/>
      <c r="I371" s="125"/>
      <c r="J371" s="125"/>
      <c r="K371" s="125"/>
      <c r="L371" s="84"/>
      <c r="M371" s="84"/>
      <c r="N371" s="89"/>
      <c r="O371" s="84"/>
      <c r="P371" s="84"/>
      <c r="Q371" s="84"/>
      <c r="R371" s="84"/>
      <c r="S371" s="84"/>
      <c r="X371" s="121"/>
      <c r="Y371" s="121"/>
      <c r="Z371" s="121"/>
      <c r="AA371" s="75"/>
      <c r="AB371" s="75"/>
      <c r="AC371" s="76"/>
      <c r="AD371" s="69"/>
      <c r="AE371" s="69"/>
      <c r="AG371" s="67"/>
    </row>
    <row r="372" spans="1:33" s="73" customFormat="1" outlineLevel="1">
      <c r="A372" s="83"/>
      <c r="B372" s="84"/>
      <c r="C372" s="84"/>
      <c r="D372" s="123"/>
      <c r="E372" s="125"/>
      <c r="F372" s="125"/>
      <c r="G372" s="125"/>
      <c r="H372" s="125"/>
      <c r="I372" s="125"/>
      <c r="J372" s="125"/>
      <c r="K372" s="125"/>
      <c r="L372" s="84"/>
      <c r="M372" s="84"/>
      <c r="N372" s="89"/>
      <c r="O372" s="84"/>
      <c r="P372" s="84"/>
      <c r="Q372" s="84"/>
      <c r="R372" s="84"/>
      <c r="S372" s="84"/>
      <c r="X372" s="121"/>
      <c r="Y372" s="121"/>
      <c r="Z372" s="121"/>
      <c r="AA372" s="75"/>
      <c r="AB372" s="75"/>
      <c r="AC372" s="76"/>
      <c r="AD372" s="69"/>
      <c r="AE372" s="69"/>
      <c r="AG372" s="67"/>
    </row>
    <row r="373" spans="1:33" s="73" customFormat="1" outlineLevel="1">
      <c r="A373" s="83"/>
      <c r="B373" s="84"/>
      <c r="C373" s="84"/>
      <c r="D373" s="123"/>
      <c r="E373" s="125"/>
      <c r="F373" s="125"/>
      <c r="G373" s="125"/>
      <c r="H373" s="125"/>
      <c r="I373" s="125"/>
      <c r="J373" s="125"/>
      <c r="K373" s="125"/>
      <c r="L373" s="84"/>
      <c r="M373" s="84"/>
      <c r="N373" s="89"/>
      <c r="O373" s="84"/>
      <c r="P373" s="84"/>
      <c r="Q373" s="84"/>
      <c r="R373" s="84"/>
      <c r="S373" s="84"/>
      <c r="X373" s="121"/>
      <c r="Y373" s="121"/>
      <c r="Z373" s="121"/>
      <c r="AA373" s="75"/>
      <c r="AB373" s="75"/>
      <c r="AC373" s="76"/>
      <c r="AD373" s="69"/>
      <c r="AE373" s="69"/>
      <c r="AG373" s="67"/>
    </row>
    <row r="374" spans="1:33" s="73" customFormat="1" outlineLevel="1">
      <c r="A374" s="83"/>
      <c r="B374" s="84"/>
      <c r="C374" s="84"/>
      <c r="D374" s="123"/>
      <c r="E374" s="125"/>
      <c r="F374" s="125"/>
      <c r="G374" s="125"/>
      <c r="H374" s="125"/>
      <c r="I374" s="125"/>
      <c r="J374" s="125"/>
      <c r="K374" s="125"/>
      <c r="L374" s="84"/>
      <c r="M374" s="84"/>
      <c r="N374" s="89"/>
      <c r="O374" s="84"/>
      <c r="P374" s="84"/>
      <c r="Q374" s="84"/>
      <c r="R374" s="84"/>
      <c r="S374" s="84"/>
      <c r="X374" s="121"/>
      <c r="Y374" s="121"/>
      <c r="Z374" s="121"/>
      <c r="AA374" s="75"/>
      <c r="AB374" s="75"/>
      <c r="AC374" s="76"/>
      <c r="AD374" s="69"/>
      <c r="AE374" s="69"/>
      <c r="AG374" s="67"/>
    </row>
    <row r="375" spans="1:33" s="73" customFormat="1" outlineLevel="1">
      <c r="A375" s="83"/>
      <c r="B375" s="84"/>
      <c r="C375" s="84"/>
      <c r="D375" s="123"/>
      <c r="E375" s="125"/>
      <c r="F375" s="125"/>
      <c r="G375" s="125"/>
      <c r="H375" s="125"/>
      <c r="I375" s="125"/>
      <c r="J375" s="125"/>
      <c r="K375" s="125"/>
      <c r="L375" s="84"/>
      <c r="M375" s="84"/>
      <c r="N375" s="89"/>
      <c r="O375" s="84"/>
      <c r="P375" s="84"/>
      <c r="Q375" s="84"/>
      <c r="R375" s="84"/>
      <c r="S375" s="84"/>
      <c r="X375" s="121"/>
      <c r="Y375" s="121"/>
      <c r="Z375" s="121"/>
      <c r="AA375" s="75"/>
      <c r="AB375" s="75"/>
      <c r="AC375" s="76"/>
      <c r="AD375" s="69"/>
      <c r="AE375" s="69"/>
      <c r="AG375" s="67"/>
    </row>
    <row r="376" spans="1:33" s="73" customFormat="1" outlineLevel="1">
      <c r="A376" s="83"/>
      <c r="B376" s="84"/>
      <c r="C376" s="84"/>
      <c r="D376" s="123"/>
      <c r="E376" s="125"/>
      <c r="F376" s="125"/>
      <c r="G376" s="125"/>
      <c r="H376" s="125"/>
      <c r="I376" s="125"/>
      <c r="J376" s="125"/>
      <c r="K376" s="125"/>
      <c r="L376" s="84"/>
      <c r="M376" s="84"/>
      <c r="N376" s="89"/>
      <c r="O376" s="84"/>
      <c r="P376" s="84"/>
      <c r="Q376" s="84"/>
      <c r="R376" s="84"/>
      <c r="S376" s="84"/>
      <c r="X376" s="121"/>
      <c r="Y376" s="121"/>
      <c r="Z376" s="121"/>
      <c r="AA376" s="75"/>
      <c r="AB376" s="75"/>
      <c r="AC376" s="76"/>
      <c r="AD376" s="69"/>
      <c r="AE376" s="69"/>
      <c r="AG376" s="67"/>
    </row>
    <row r="377" spans="1:33" s="73" customFormat="1" outlineLevel="1">
      <c r="A377" s="83"/>
      <c r="B377" s="84"/>
      <c r="C377" s="84"/>
      <c r="D377" s="123"/>
      <c r="E377" s="125"/>
      <c r="F377" s="125"/>
      <c r="G377" s="125"/>
      <c r="H377" s="125"/>
      <c r="I377" s="125"/>
      <c r="J377" s="125"/>
      <c r="K377" s="125"/>
      <c r="L377" s="84"/>
      <c r="M377" s="84"/>
      <c r="N377" s="89"/>
      <c r="O377" s="84"/>
      <c r="P377" s="84"/>
      <c r="Q377" s="84"/>
      <c r="R377" s="84"/>
      <c r="S377" s="84"/>
      <c r="X377" s="121"/>
      <c r="Y377" s="121"/>
      <c r="Z377" s="121"/>
      <c r="AA377" s="75"/>
      <c r="AB377" s="75"/>
      <c r="AC377" s="76"/>
      <c r="AD377" s="69"/>
      <c r="AE377" s="69"/>
      <c r="AG377" s="67"/>
    </row>
    <row r="378" spans="1:33" s="73" customFormat="1" outlineLevel="1">
      <c r="A378" s="83"/>
      <c r="B378" s="84"/>
      <c r="C378" s="84"/>
      <c r="D378" s="123"/>
      <c r="E378" s="125"/>
      <c r="F378" s="125"/>
      <c r="G378" s="125"/>
      <c r="H378" s="125"/>
      <c r="I378" s="125"/>
      <c r="J378" s="125"/>
      <c r="K378" s="125"/>
      <c r="L378" s="84"/>
      <c r="M378" s="84"/>
      <c r="N378" s="89"/>
      <c r="O378" s="84"/>
      <c r="P378" s="84"/>
      <c r="Q378" s="84"/>
      <c r="R378" s="84"/>
      <c r="S378" s="84"/>
      <c r="X378" s="121"/>
      <c r="Y378" s="121"/>
      <c r="Z378" s="121"/>
      <c r="AA378" s="75"/>
      <c r="AB378" s="75"/>
      <c r="AC378" s="76"/>
      <c r="AD378" s="69"/>
      <c r="AE378" s="69"/>
      <c r="AG378" s="67"/>
    </row>
    <row r="379" spans="1:33" s="73" customFormat="1" outlineLevel="1">
      <c r="A379" s="83"/>
      <c r="B379" s="84"/>
      <c r="C379" s="84"/>
      <c r="D379" s="123"/>
      <c r="E379" s="125"/>
      <c r="F379" s="125"/>
      <c r="G379" s="125"/>
      <c r="H379" s="125"/>
      <c r="I379" s="125"/>
      <c r="J379" s="125"/>
      <c r="K379" s="125"/>
      <c r="L379" s="84"/>
      <c r="M379" s="84"/>
      <c r="N379" s="89"/>
      <c r="O379" s="84"/>
      <c r="P379" s="84"/>
      <c r="Q379" s="84"/>
      <c r="R379" s="84"/>
      <c r="S379" s="84"/>
      <c r="X379" s="121"/>
      <c r="Y379" s="121"/>
      <c r="Z379" s="121"/>
      <c r="AA379" s="75"/>
      <c r="AB379" s="75"/>
      <c r="AC379" s="76"/>
      <c r="AD379" s="69"/>
      <c r="AE379" s="69"/>
      <c r="AG379" s="67"/>
    </row>
    <row r="380" spans="1:33" s="73" customFormat="1" outlineLevel="1">
      <c r="A380" s="83"/>
      <c r="B380" s="84"/>
      <c r="C380" s="84"/>
      <c r="D380" s="123"/>
      <c r="E380" s="125"/>
      <c r="F380" s="125"/>
      <c r="G380" s="125"/>
      <c r="H380" s="125"/>
      <c r="I380" s="125"/>
      <c r="J380" s="125"/>
      <c r="K380" s="125"/>
      <c r="L380" s="84"/>
      <c r="M380" s="84"/>
      <c r="N380" s="89"/>
      <c r="O380" s="84"/>
      <c r="P380" s="84"/>
      <c r="Q380" s="84"/>
      <c r="R380" s="84"/>
      <c r="S380" s="84"/>
      <c r="X380" s="121"/>
      <c r="Y380" s="121"/>
      <c r="Z380" s="121"/>
      <c r="AA380" s="75"/>
      <c r="AB380" s="75"/>
      <c r="AC380" s="76"/>
      <c r="AD380" s="69"/>
      <c r="AE380" s="69"/>
      <c r="AG380" s="67"/>
    </row>
    <row r="381" spans="1:33" s="73" customFormat="1" outlineLevel="1">
      <c r="A381" s="83"/>
      <c r="B381" s="84"/>
      <c r="C381" s="84"/>
      <c r="D381" s="123"/>
      <c r="E381" s="125"/>
      <c r="F381" s="125"/>
      <c r="G381" s="125"/>
      <c r="H381" s="125"/>
      <c r="I381" s="125"/>
      <c r="J381" s="125"/>
      <c r="K381" s="125"/>
      <c r="L381" s="84"/>
      <c r="M381" s="84"/>
      <c r="N381" s="89"/>
      <c r="O381" s="84"/>
      <c r="P381" s="84"/>
      <c r="Q381" s="84"/>
      <c r="R381" s="84"/>
      <c r="S381" s="84"/>
      <c r="X381" s="121"/>
      <c r="Y381" s="121"/>
      <c r="Z381" s="121"/>
      <c r="AA381" s="75"/>
      <c r="AB381" s="75"/>
      <c r="AC381" s="76"/>
      <c r="AD381" s="69"/>
      <c r="AE381" s="69"/>
      <c r="AG381" s="67"/>
    </row>
    <row r="382" spans="1:33" s="73" customFormat="1" outlineLevel="1">
      <c r="A382" s="83"/>
      <c r="B382" s="84"/>
      <c r="C382" s="84"/>
      <c r="D382" s="123"/>
      <c r="E382" s="125"/>
      <c r="F382" s="125"/>
      <c r="G382" s="125"/>
      <c r="H382" s="125"/>
      <c r="I382" s="125"/>
      <c r="J382" s="125"/>
      <c r="K382" s="125"/>
      <c r="L382" s="84"/>
      <c r="M382" s="84"/>
      <c r="N382" s="89"/>
      <c r="O382" s="84"/>
      <c r="P382" s="84"/>
      <c r="Q382" s="84"/>
      <c r="R382" s="84"/>
      <c r="S382" s="84"/>
      <c r="X382" s="121"/>
      <c r="Y382" s="121"/>
      <c r="Z382" s="121"/>
      <c r="AA382" s="75"/>
      <c r="AB382" s="75"/>
      <c r="AC382" s="76"/>
      <c r="AD382" s="69"/>
      <c r="AE382" s="69"/>
      <c r="AG382" s="67"/>
    </row>
    <row r="383" spans="1:33" s="73" customFormat="1" outlineLevel="1">
      <c r="A383" s="83"/>
      <c r="B383" s="84"/>
      <c r="C383" s="84"/>
      <c r="D383" s="123"/>
      <c r="E383" s="125"/>
      <c r="F383" s="125"/>
      <c r="G383" s="125"/>
      <c r="H383" s="125"/>
      <c r="I383" s="125"/>
      <c r="J383" s="125"/>
      <c r="K383" s="125"/>
      <c r="L383" s="84"/>
      <c r="M383" s="84"/>
      <c r="N383" s="89"/>
      <c r="O383" s="84"/>
      <c r="P383" s="84"/>
      <c r="Q383" s="84"/>
      <c r="R383" s="84"/>
      <c r="S383" s="84"/>
      <c r="X383" s="121"/>
      <c r="Y383" s="121"/>
      <c r="Z383" s="121"/>
      <c r="AA383" s="75"/>
      <c r="AB383" s="75"/>
      <c r="AC383" s="76"/>
      <c r="AD383" s="69"/>
      <c r="AE383" s="69"/>
      <c r="AG383" s="67"/>
    </row>
    <row r="384" spans="1:33" s="73" customFormat="1" outlineLevel="1">
      <c r="A384" s="83"/>
      <c r="B384" s="84"/>
      <c r="C384" s="84"/>
      <c r="D384" s="123"/>
      <c r="E384" s="125"/>
      <c r="F384" s="125"/>
      <c r="G384" s="125"/>
      <c r="H384" s="125"/>
      <c r="I384" s="125"/>
      <c r="J384" s="125"/>
      <c r="K384" s="125"/>
      <c r="L384" s="84"/>
      <c r="M384" s="84"/>
      <c r="N384" s="89"/>
      <c r="O384" s="84"/>
      <c r="P384" s="84"/>
      <c r="Q384" s="84"/>
      <c r="R384" s="84"/>
      <c r="S384" s="84"/>
      <c r="X384" s="121"/>
      <c r="Y384" s="121"/>
      <c r="Z384" s="121"/>
      <c r="AA384" s="75"/>
      <c r="AB384" s="75"/>
      <c r="AC384" s="76"/>
      <c r="AD384" s="69"/>
      <c r="AE384" s="69"/>
      <c r="AG384" s="67"/>
    </row>
    <row r="385" spans="1:33" s="73" customFormat="1" outlineLevel="1">
      <c r="A385" s="83"/>
      <c r="B385" s="84"/>
      <c r="C385" s="84"/>
      <c r="D385" s="123"/>
      <c r="E385" s="125"/>
      <c r="F385" s="125"/>
      <c r="G385" s="125"/>
      <c r="H385" s="125"/>
      <c r="I385" s="125"/>
      <c r="J385" s="125"/>
      <c r="K385" s="125"/>
      <c r="L385" s="84"/>
      <c r="M385" s="84"/>
      <c r="N385" s="89"/>
      <c r="O385" s="84"/>
      <c r="P385" s="84"/>
      <c r="Q385" s="84"/>
      <c r="R385" s="84"/>
      <c r="S385" s="84"/>
      <c r="X385" s="121"/>
      <c r="Y385" s="121"/>
      <c r="Z385" s="121"/>
      <c r="AA385" s="75"/>
      <c r="AB385" s="75"/>
      <c r="AC385" s="76"/>
      <c r="AD385" s="69"/>
      <c r="AE385" s="69"/>
      <c r="AG385" s="67"/>
    </row>
    <row r="386" spans="1:33" s="73" customFormat="1" outlineLevel="1">
      <c r="A386" s="83"/>
      <c r="B386" s="84"/>
      <c r="C386" s="84"/>
      <c r="D386" s="123"/>
      <c r="E386" s="125"/>
      <c r="F386" s="125"/>
      <c r="G386" s="125"/>
      <c r="H386" s="125"/>
      <c r="I386" s="125"/>
      <c r="J386" s="125"/>
      <c r="K386" s="125"/>
      <c r="L386" s="84"/>
      <c r="M386" s="84"/>
      <c r="N386" s="89"/>
      <c r="O386" s="84"/>
      <c r="P386" s="84"/>
      <c r="Q386" s="84"/>
      <c r="R386" s="84"/>
      <c r="S386" s="84"/>
      <c r="X386" s="121"/>
      <c r="Y386" s="121"/>
      <c r="Z386" s="121"/>
      <c r="AA386" s="75"/>
      <c r="AB386" s="75"/>
      <c r="AC386" s="76"/>
      <c r="AD386" s="69"/>
      <c r="AE386" s="69"/>
      <c r="AG386" s="67"/>
    </row>
    <row r="387" spans="1:33" s="73" customFormat="1" outlineLevel="1">
      <c r="A387" s="83"/>
      <c r="B387" s="84"/>
      <c r="C387" s="84"/>
      <c r="D387" s="123"/>
      <c r="E387" s="125"/>
      <c r="F387" s="125"/>
      <c r="G387" s="125"/>
      <c r="H387" s="125"/>
      <c r="I387" s="125"/>
      <c r="J387" s="125"/>
      <c r="K387" s="125"/>
      <c r="L387" s="84"/>
      <c r="M387" s="84"/>
      <c r="N387" s="89"/>
      <c r="O387" s="84"/>
      <c r="P387" s="84"/>
      <c r="Q387" s="84"/>
      <c r="R387" s="84"/>
      <c r="S387" s="84"/>
      <c r="X387" s="121"/>
      <c r="Y387" s="121"/>
      <c r="Z387" s="121"/>
      <c r="AA387" s="75"/>
      <c r="AB387" s="75"/>
      <c r="AC387" s="76"/>
      <c r="AD387" s="69"/>
      <c r="AE387" s="69"/>
      <c r="AG387" s="67"/>
    </row>
    <row r="388" spans="1:33" s="73" customFormat="1" outlineLevel="1">
      <c r="A388" s="83"/>
      <c r="B388" s="84"/>
      <c r="C388" s="84"/>
      <c r="D388" s="123"/>
      <c r="E388" s="125"/>
      <c r="F388" s="125"/>
      <c r="G388" s="125"/>
      <c r="H388" s="125"/>
      <c r="I388" s="125"/>
      <c r="J388" s="125"/>
      <c r="K388" s="125"/>
      <c r="L388" s="84"/>
      <c r="M388" s="84"/>
      <c r="N388" s="89"/>
      <c r="O388" s="84"/>
      <c r="P388" s="84"/>
      <c r="Q388" s="84"/>
      <c r="R388" s="84"/>
      <c r="S388" s="84"/>
      <c r="X388" s="121"/>
      <c r="Y388" s="121"/>
      <c r="Z388" s="121"/>
      <c r="AA388" s="75"/>
      <c r="AB388" s="75"/>
      <c r="AC388" s="76"/>
      <c r="AD388" s="69"/>
      <c r="AE388" s="69"/>
      <c r="AG388" s="67"/>
    </row>
    <row r="389" spans="1:33" s="73" customFormat="1" outlineLevel="1">
      <c r="A389" s="83"/>
      <c r="B389" s="84"/>
      <c r="C389" s="84"/>
      <c r="D389" s="123"/>
      <c r="E389" s="125"/>
      <c r="F389" s="125"/>
      <c r="G389" s="125"/>
      <c r="H389" s="125"/>
      <c r="I389" s="125"/>
      <c r="J389" s="125"/>
      <c r="K389" s="125"/>
      <c r="L389" s="84"/>
      <c r="M389" s="84"/>
      <c r="N389" s="89"/>
      <c r="O389" s="84"/>
      <c r="P389" s="84"/>
      <c r="Q389" s="84"/>
      <c r="R389" s="84"/>
      <c r="S389" s="84"/>
      <c r="X389" s="121"/>
      <c r="Y389" s="121"/>
      <c r="Z389" s="121"/>
      <c r="AA389" s="75"/>
      <c r="AB389" s="75"/>
      <c r="AC389" s="76"/>
      <c r="AD389" s="69"/>
      <c r="AE389" s="69"/>
      <c r="AG389" s="67"/>
    </row>
    <row r="390" spans="1:33" s="73" customFormat="1" outlineLevel="1">
      <c r="A390" s="83"/>
      <c r="B390" s="84"/>
      <c r="C390" s="84"/>
      <c r="D390" s="123"/>
      <c r="E390" s="125"/>
      <c r="F390" s="125"/>
      <c r="G390" s="125"/>
      <c r="H390" s="125"/>
      <c r="I390" s="125"/>
      <c r="J390" s="125"/>
      <c r="K390" s="125"/>
      <c r="L390" s="84"/>
      <c r="M390" s="84"/>
      <c r="N390" s="89"/>
      <c r="O390" s="84"/>
      <c r="P390" s="84"/>
      <c r="Q390" s="84"/>
      <c r="R390" s="84"/>
      <c r="S390" s="84"/>
      <c r="X390" s="121"/>
      <c r="Y390" s="121"/>
      <c r="Z390" s="121"/>
      <c r="AA390" s="75"/>
      <c r="AB390" s="75"/>
      <c r="AC390" s="76"/>
      <c r="AD390" s="69"/>
      <c r="AE390" s="69"/>
      <c r="AG390" s="67"/>
    </row>
    <row r="391" spans="1:33" s="73" customFormat="1" outlineLevel="1">
      <c r="A391" s="83"/>
      <c r="B391" s="84"/>
      <c r="C391" s="84"/>
      <c r="D391" s="123"/>
      <c r="E391" s="125"/>
      <c r="F391" s="125"/>
      <c r="G391" s="125"/>
      <c r="H391" s="125"/>
      <c r="I391" s="125"/>
      <c r="J391" s="125"/>
      <c r="K391" s="125"/>
      <c r="L391" s="84"/>
      <c r="M391" s="84"/>
      <c r="N391" s="89"/>
      <c r="O391" s="84"/>
      <c r="P391" s="84"/>
      <c r="Q391" s="84"/>
      <c r="R391" s="84"/>
      <c r="S391" s="84"/>
      <c r="X391" s="121"/>
      <c r="Y391" s="121"/>
      <c r="Z391" s="121"/>
      <c r="AA391" s="75"/>
      <c r="AB391" s="75"/>
      <c r="AC391" s="76"/>
      <c r="AD391" s="69"/>
      <c r="AE391" s="69"/>
      <c r="AG391" s="67"/>
    </row>
    <row r="392" spans="1:33" s="73" customFormat="1" outlineLevel="1">
      <c r="A392" s="83"/>
      <c r="B392" s="84"/>
      <c r="C392" s="84"/>
      <c r="D392" s="123"/>
      <c r="E392" s="125"/>
      <c r="F392" s="125"/>
      <c r="G392" s="125"/>
      <c r="H392" s="125"/>
      <c r="I392" s="125"/>
      <c r="J392" s="125"/>
      <c r="K392" s="125"/>
      <c r="L392" s="84"/>
      <c r="M392" s="84"/>
      <c r="N392" s="89"/>
      <c r="O392" s="84"/>
      <c r="P392" s="84"/>
      <c r="Q392" s="84"/>
      <c r="R392" s="84"/>
      <c r="S392" s="84"/>
      <c r="X392" s="121"/>
      <c r="Y392" s="121"/>
      <c r="Z392" s="121"/>
      <c r="AA392" s="75"/>
      <c r="AB392" s="75"/>
      <c r="AC392" s="76"/>
      <c r="AD392" s="69"/>
      <c r="AE392" s="69"/>
      <c r="AG392" s="67"/>
    </row>
    <row r="393" spans="1:33" s="73" customFormat="1" outlineLevel="1">
      <c r="A393" s="83"/>
      <c r="B393" s="84"/>
      <c r="C393" s="84"/>
      <c r="D393" s="123"/>
      <c r="E393" s="125"/>
      <c r="F393" s="125"/>
      <c r="G393" s="125"/>
      <c r="H393" s="125"/>
      <c r="I393" s="125"/>
      <c r="J393" s="125"/>
      <c r="K393" s="125"/>
      <c r="L393" s="84"/>
      <c r="M393" s="84"/>
      <c r="N393" s="89"/>
      <c r="O393" s="84"/>
      <c r="P393" s="84"/>
      <c r="Q393" s="84"/>
      <c r="R393" s="84"/>
      <c r="S393" s="84"/>
      <c r="X393" s="121"/>
      <c r="Y393" s="121"/>
      <c r="Z393" s="121"/>
      <c r="AA393" s="75"/>
      <c r="AB393" s="75"/>
      <c r="AC393" s="76"/>
      <c r="AD393" s="69"/>
      <c r="AE393" s="69"/>
      <c r="AG393" s="67"/>
    </row>
    <row r="394" spans="1:33" s="73" customFormat="1" outlineLevel="1">
      <c r="A394" s="83"/>
      <c r="B394" s="84"/>
      <c r="C394" s="84"/>
      <c r="D394" s="123"/>
      <c r="E394" s="125"/>
      <c r="F394" s="125"/>
      <c r="G394" s="125"/>
      <c r="H394" s="125"/>
      <c r="I394" s="125"/>
      <c r="J394" s="125"/>
      <c r="K394" s="125"/>
      <c r="L394" s="84"/>
      <c r="M394" s="84"/>
      <c r="N394" s="89"/>
      <c r="O394" s="84"/>
      <c r="P394" s="84"/>
      <c r="Q394" s="84"/>
      <c r="R394" s="84"/>
      <c r="S394" s="84"/>
      <c r="X394" s="121"/>
      <c r="Y394" s="121"/>
      <c r="Z394" s="121"/>
      <c r="AA394" s="75"/>
      <c r="AB394" s="75"/>
      <c r="AC394" s="76"/>
      <c r="AD394" s="69"/>
      <c r="AE394" s="69"/>
      <c r="AG394" s="67"/>
    </row>
    <row r="395" spans="1:33" s="73" customFormat="1" outlineLevel="1">
      <c r="A395" s="83"/>
      <c r="B395" s="84"/>
      <c r="C395" s="84"/>
      <c r="D395" s="123"/>
      <c r="E395" s="125"/>
      <c r="F395" s="125"/>
      <c r="G395" s="125"/>
      <c r="H395" s="125"/>
      <c r="I395" s="125"/>
      <c r="J395" s="125"/>
      <c r="K395" s="125"/>
      <c r="L395" s="84"/>
      <c r="M395" s="84"/>
      <c r="N395" s="89"/>
      <c r="O395" s="84"/>
      <c r="P395" s="84"/>
      <c r="Q395" s="84"/>
      <c r="R395" s="84"/>
      <c r="S395" s="84"/>
      <c r="X395" s="121"/>
      <c r="Y395" s="121"/>
      <c r="Z395" s="121"/>
      <c r="AA395" s="75"/>
      <c r="AB395" s="75"/>
      <c r="AC395" s="76"/>
      <c r="AD395" s="69"/>
      <c r="AE395" s="69"/>
      <c r="AG395" s="67"/>
    </row>
    <row r="396" spans="1:33" s="73" customFormat="1" outlineLevel="1">
      <c r="A396" s="83"/>
      <c r="B396" s="84"/>
      <c r="C396" s="84"/>
      <c r="D396" s="123"/>
      <c r="E396" s="125"/>
      <c r="F396" s="125"/>
      <c r="G396" s="125"/>
      <c r="H396" s="125"/>
      <c r="I396" s="125"/>
      <c r="J396" s="125"/>
      <c r="K396" s="125"/>
      <c r="L396" s="84"/>
      <c r="M396" s="84"/>
      <c r="N396" s="89"/>
      <c r="O396" s="84"/>
      <c r="P396" s="84"/>
      <c r="Q396" s="84"/>
      <c r="R396" s="84"/>
      <c r="S396" s="84"/>
      <c r="X396" s="121"/>
      <c r="Y396" s="121"/>
      <c r="Z396" s="121"/>
      <c r="AA396" s="75"/>
      <c r="AB396" s="75"/>
      <c r="AC396" s="76"/>
      <c r="AD396" s="69"/>
      <c r="AE396" s="69"/>
      <c r="AG396" s="67"/>
    </row>
    <row r="397" spans="1:33" s="73" customFormat="1" outlineLevel="1">
      <c r="A397" s="83"/>
      <c r="B397" s="84"/>
      <c r="C397" s="84"/>
      <c r="D397" s="123"/>
      <c r="E397" s="125"/>
      <c r="F397" s="125"/>
      <c r="G397" s="125"/>
      <c r="H397" s="125"/>
      <c r="I397" s="125"/>
      <c r="J397" s="125"/>
      <c r="K397" s="125"/>
      <c r="L397" s="84"/>
      <c r="M397" s="84"/>
      <c r="N397" s="89"/>
      <c r="O397" s="84"/>
      <c r="P397" s="84"/>
      <c r="Q397" s="84"/>
      <c r="R397" s="84"/>
      <c r="S397" s="84"/>
      <c r="X397" s="121"/>
      <c r="Y397" s="121"/>
      <c r="Z397" s="121"/>
      <c r="AA397" s="75"/>
      <c r="AB397" s="75"/>
      <c r="AC397" s="76"/>
      <c r="AD397" s="69"/>
      <c r="AE397" s="69"/>
      <c r="AG397" s="67"/>
    </row>
    <row r="398" spans="1:33" s="73" customFormat="1" outlineLevel="1">
      <c r="A398" s="83"/>
      <c r="B398" s="84"/>
      <c r="C398" s="84"/>
      <c r="D398" s="123"/>
      <c r="E398" s="125"/>
      <c r="F398" s="125"/>
      <c r="G398" s="125"/>
      <c r="H398" s="125"/>
      <c r="I398" s="125"/>
      <c r="J398" s="125"/>
      <c r="K398" s="125"/>
      <c r="L398" s="84"/>
      <c r="M398" s="84"/>
      <c r="N398" s="89"/>
      <c r="O398" s="84"/>
      <c r="P398" s="84"/>
      <c r="Q398" s="84"/>
      <c r="R398" s="84"/>
      <c r="S398" s="84"/>
      <c r="X398" s="121"/>
      <c r="Y398" s="121"/>
      <c r="Z398" s="121"/>
      <c r="AA398" s="75"/>
      <c r="AB398" s="75"/>
      <c r="AC398" s="76"/>
      <c r="AD398" s="69"/>
      <c r="AE398" s="69"/>
      <c r="AG398" s="67"/>
    </row>
    <row r="399" spans="1:33" outlineLevel="1">
      <c r="A399" s="81"/>
      <c r="B399" s="61"/>
      <c r="C399" s="61"/>
      <c r="D399" s="61"/>
      <c r="E399" s="61"/>
      <c r="F399" s="61"/>
      <c r="G399" s="61"/>
      <c r="H399" s="61"/>
      <c r="I399" s="61"/>
      <c r="J399" s="61"/>
      <c r="K399" s="61"/>
      <c r="L399" s="61"/>
      <c r="M399" s="61"/>
      <c r="N399" s="82"/>
      <c r="X399" s="121" t="s">
        <v>246</v>
      </c>
      <c r="Y399" s="121" t="s">
        <v>244</v>
      </c>
      <c r="Z399" s="121" t="str">
        <f>CONCATENATE(X399,Y399)</f>
        <v>MK</v>
      </c>
      <c r="AA399" s="75" t="s">
        <v>292</v>
      </c>
      <c r="AB399" s="75" t="s">
        <v>265</v>
      </c>
      <c r="AC399" s="76" t="str">
        <f>CONCATENATE(Z399,AA399)</f>
        <v>MK$1321</v>
      </c>
      <c r="AD399" s="69" t="str">
        <f>CONCATENATE(AB399,AC399)</f>
        <v>=Consolidated!MK$1321</v>
      </c>
      <c r="AE399" s="122" t="s">
        <v>420</v>
      </c>
      <c r="AG399" s="67">
        <v>1</v>
      </c>
    </row>
    <row r="400" spans="1:33" outlineLevel="1">
      <c r="A400" s="81"/>
      <c r="B400" s="61"/>
      <c r="C400" s="61"/>
      <c r="D400" s="61"/>
      <c r="E400" s="61"/>
      <c r="F400" s="61"/>
      <c r="G400" s="61"/>
      <c r="H400" s="61"/>
      <c r="I400" s="61"/>
      <c r="J400" s="61"/>
      <c r="K400" s="61"/>
      <c r="L400" s="61"/>
      <c r="M400" s="61"/>
      <c r="N400" s="82"/>
      <c r="X400" s="121"/>
      <c r="Y400" s="121"/>
      <c r="Z400" s="121"/>
      <c r="AA400" s="75"/>
      <c r="AB400" s="75"/>
      <c r="AC400" s="76"/>
      <c r="AD400" s="69"/>
      <c r="AE400" s="122"/>
    </row>
    <row r="401" spans="1:33" outlineLevel="1">
      <c r="A401" s="81"/>
      <c r="B401" s="61"/>
      <c r="C401" s="61"/>
      <c r="D401" s="61"/>
      <c r="E401" s="61"/>
      <c r="F401" s="61"/>
      <c r="G401" s="61"/>
      <c r="H401" s="61"/>
      <c r="I401" s="61"/>
      <c r="J401" s="61"/>
      <c r="K401" s="61"/>
      <c r="L401" s="61"/>
      <c r="M401" s="61"/>
      <c r="N401" s="82"/>
      <c r="X401" s="121"/>
      <c r="Y401" s="121"/>
      <c r="Z401" s="121"/>
      <c r="AA401" s="75"/>
      <c r="AB401" s="75"/>
      <c r="AC401" s="76"/>
      <c r="AD401" s="69"/>
      <c r="AE401" s="122"/>
    </row>
    <row r="402" spans="1:33" outlineLevel="1">
      <c r="A402" s="81"/>
      <c r="B402" s="61"/>
      <c r="C402" s="61"/>
      <c r="D402" s="61"/>
      <c r="E402" s="61"/>
      <c r="F402" s="61"/>
      <c r="G402" s="61"/>
      <c r="H402" s="61"/>
      <c r="I402" s="61"/>
      <c r="J402" s="61"/>
      <c r="K402" s="61"/>
      <c r="L402" s="61"/>
      <c r="M402" s="61"/>
      <c r="N402" s="82"/>
      <c r="X402" s="121"/>
      <c r="Y402" s="121"/>
      <c r="Z402" s="121"/>
      <c r="AA402" s="75"/>
      <c r="AB402" s="75"/>
      <c r="AC402" s="76"/>
      <c r="AD402" s="69"/>
      <c r="AE402" s="122"/>
    </row>
    <row r="403" spans="1:33" outlineLevel="1">
      <c r="A403" s="81"/>
      <c r="B403" s="61"/>
      <c r="C403" s="61"/>
      <c r="D403" s="61"/>
      <c r="E403" s="61"/>
      <c r="F403" s="61"/>
      <c r="G403" s="61"/>
      <c r="H403" s="61"/>
      <c r="I403" s="61"/>
      <c r="J403" s="61"/>
      <c r="K403" s="61"/>
      <c r="L403" s="61"/>
      <c r="M403" s="61"/>
      <c r="N403" s="82"/>
      <c r="X403" s="121"/>
      <c r="Y403" s="121"/>
      <c r="Z403" s="121"/>
      <c r="AA403" s="75"/>
      <c r="AB403" s="75"/>
      <c r="AC403" s="76"/>
      <c r="AD403" s="69"/>
      <c r="AE403" s="122"/>
    </row>
    <row r="404" spans="1:33" outlineLevel="1">
      <c r="A404" s="81"/>
      <c r="B404" s="61"/>
      <c r="C404" s="61"/>
      <c r="D404" s="61"/>
      <c r="E404" s="61"/>
      <c r="F404" s="61"/>
      <c r="G404" s="61"/>
      <c r="H404" s="61"/>
      <c r="I404" s="61"/>
      <c r="J404" s="61"/>
      <c r="K404" s="61"/>
      <c r="L404" s="61"/>
      <c r="M404" s="61"/>
      <c r="N404" s="82"/>
      <c r="X404" s="121"/>
      <c r="Y404" s="121"/>
      <c r="Z404" s="121"/>
      <c r="AA404" s="75"/>
      <c r="AB404" s="75"/>
      <c r="AC404" s="76"/>
      <c r="AD404" s="69"/>
      <c r="AE404" s="122"/>
    </row>
    <row r="405" spans="1:33" ht="15" thickBot="1">
      <c r="A405" s="85"/>
      <c r="B405" s="86"/>
      <c r="C405" s="86"/>
      <c r="D405" s="86"/>
      <c r="E405" s="86"/>
      <c r="F405" s="86"/>
      <c r="G405" s="86"/>
      <c r="H405" s="86"/>
      <c r="I405" s="86"/>
      <c r="J405" s="86"/>
      <c r="K405" s="86"/>
      <c r="L405" s="86"/>
      <c r="M405" s="86"/>
      <c r="N405" s="87"/>
      <c r="X405" s="121" t="s">
        <v>246</v>
      </c>
      <c r="Y405" s="121" t="s">
        <v>245</v>
      </c>
      <c r="Z405" s="121" t="str">
        <f>CONCATENATE(X405,Y405)</f>
        <v>ML</v>
      </c>
      <c r="AA405" s="75" t="s">
        <v>292</v>
      </c>
      <c r="AB405" s="75" t="s">
        <v>265</v>
      </c>
      <c r="AC405" s="76" t="str">
        <f>CONCATENATE(Z405,AA405)</f>
        <v>ML$1321</v>
      </c>
      <c r="AD405" s="69" t="str">
        <f>CONCATENATE(AB405,AC405)</f>
        <v>=Consolidated!ML$1321</v>
      </c>
      <c r="AE405" s="122" t="s">
        <v>421</v>
      </c>
      <c r="AG405" s="67">
        <v>2</v>
      </c>
    </row>
    <row r="406" spans="1:33" ht="18">
      <c r="A406" s="77"/>
      <c r="B406" s="78"/>
      <c r="C406" s="79" t="s">
        <v>505</v>
      </c>
      <c r="D406" s="78"/>
      <c r="E406" s="78"/>
      <c r="F406" s="78"/>
      <c r="G406" s="78"/>
      <c r="H406" s="78"/>
      <c r="I406" s="78"/>
      <c r="J406" s="78"/>
      <c r="K406" s="78"/>
      <c r="L406" s="78"/>
      <c r="M406" s="78"/>
      <c r="N406" s="80"/>
      <c r="X406" s="121" t="s">
        <v>245</v>
      </c>
      <c r="Y406" s="121" t="s">
        <v>256</v>
      </c>
      <c r="Z406" s="121" t="str">
        <f>CONCATENATE(X406,Y406)</f>
        <v>LZ</v>
      </c>
      <c r="AA406" s="75" t="s">
        <v>292</v>
      </c>
      <c r="AB406" s="75" t="s">
        <v>265</v>
      </c>
      <c r="AC406" s="76" t="str">
        <f>CONCATENATE(Z406,AA406)</f>
        <v>LZ$1321</v>
      </c>
      <c r="AD406" s="69" t="str">
        <f>CONCATENATE(AB406,AC406)</f>
        <v>=Consolidated!LZ$1321</v>
      </c>
      <c r="AE406" s="122" t="s">
        <v>408</v>
      </c>
      <c r="AG406" s="67">
        <v>4</v>
      </c>
    </row>
    <row r="407" spans="1:33" outlineLevel="1">
      <c r="A407" s="81"/>
      <c r="B407" s="61"/>
      <c r="C407" s="61"/>
      <c r="D407" s="61"/>
      <c r="E407" s="61"/>
      <c r="F407" s="61"/>
      <c r="G407" s="61"/>
      <c r="H407" s="61"/>
      <c r="I407" s="61"/>
      <c r="J407" s="61"/>
      <c r="K407" s="61"/>
      <c r="L407" s="61"/>
      <c r="M407" s="61"/>
      <c r="N407" s="82"/>
      <c r="X407" s="121" t="s">
        <v>246</v>
      </c>
      <c r="Y407" s="121" t="s">
        <v>257</v>
      </c>
      <c r="Z407" s="121" t="str">
        <f>CONCATENATE(X407,Y407)</f>
        <v>MA</v>
      </c>
      <c r="AA407" s="75" t="s">
        <v>292</v>
      </c>
      <c r="AB407" s="75" t="s">
        <v>265</v>
      </c>
      <c r="AC407" s="76" t="str">
        <f>CONCATENATE(Z407,AA407)</f>
        <v>MA$1321</v>
      </c>
      <c r="AD407" s="69" t="str">
        <f>CONCATENATE(AB407,AC407)</f>
        <v>=Consolidated!MA$1321</v>
      </c>
      <c r="AE407" s="122" t="s">
        <v>410</v>
      </c>
      <c r="AG407" s="67">
        <v>5</v>
      </c>
    </row>
    <row r="408" spans="1:33" s="73" customFormat="1" outlineLevel="1">
      <c r="A408" s="83"/>
      <c r="B408" s="84"/>
      <c r="C408" s="84"/>
      <c r="D408" s="123"/>
      <c r="E408" s="125"/>
      <c r="F408" s="125"/>
      <c r="G408" s="125"/>
      <c r="H408" s="125"/>
      <c r="I408" s="125"/>
      <c r="J408" s="125"/>
      <c r="K408" s="125"/>
      <c r="L408" s="84"/>
      <c r="M408" s="84"/>
      <c r="N408" s="89"/>
      <c r="O408" s="84"/>
      <c r="P408" s="84"/>
      <c r="Q408" s="84"/>
      <c r="R408" s="84"/>
      <c r="S408" s="84"/>
      <c r="X408" s="121"/>
      <c r="Y408" s="121"/>
      <c r="Z408" s="121"/>
      <c r="AA408" s="75"/>
      <c r="AB408" s="75"/>
      <c r="AC408" s="76"/>
      <c r="AD408" s="69"/>
      <c r="AE408" s="69"/>
      <c r="AG408" s="67"/>
    </row>
    <row r="409" spans="1:33" s="73" customFormat="1" ht="15.6" outlineLevel="1">
      <c r="A409" s="83"/>
      <c r="B409" s="84"/>
      <c r="C409" s="84" t="s">
        <v>470</v>
      </c>
      <c r="D409" s="123"/>
      <c r="E409" s="125"/>
      <c r="F409" s="125"/>
      <c r="G409" s="125"/>
      <c r="H409" s="277" t="s">
        <v>576</v>
      </c>
      <c r="M409" s="84"/>
      <c r="N409" s="89"/>
      <c r="O409" s="84"/>
      <c r="P409" s="84"/>
      <c r="Q409" s="84"/>
      <c r="R409" s="84"/>
      <c r="S409" s="84"/>
      <c r="X409" s="121"/>
      <c r="Y409" s="121"/>
      <c r="Z409" s="121"/>
      <c r="AA409" s="75"/>
      <c r="AB409" s="75"/>
      <c r="AC409" s="76"/>
      <c r="AD409" s="69"/>
      <c r="AE409" s="69"/>
      <c r="AG409" s="67"/>
    </row>
    <row r="410" spans="1:33" s="73" customFormat="1" ht="27.6" outlineLevel="1">
      <c r="A410" s="83"/>
      <c r="B410" s="84"/>
      <c r="C410" s="161" t="s">
        <v>239</v>
      </c>
      <c r="D410" s="161">
        <v>2015</v>
      </c>
      <c r="E410" s="161">
        <v>2016</v>
      </c>
      <c r="F410" s="156" t="s">
        <v>468</v>
      </c>
      <c r="G410" s="125"/>
      <c r="H410" s="274" t="s">
        <v>476</v>
      </c>
      <c r="I410" s="275" t="s">
        <v>477</v>
      </c>
      <c r="J410" s="275" t="s">
        <v>240</v>
      </c>
      <c r="K410" s="156" t="s">
        <v>577</v>
      </c>
      <c r="M410" s="61"/>
      <c r="N410" s="82"/>
      <c r="O410" s="84"/>
      <c r="P410" s="84"/>
      <c r="Q410" s="84"/>
      <c r="R410" s="84"/>
      <c r="S410" s="84"/>
      <c r="X410" s="121"/>
      <c r="Y410" s="121"/>
      <c r="Z410" s="121"/>
      <c r="AA410" s="75"/>
      <c r="AB410" s="75"/>
      <c r="AC410" s="76"/>
      <c r="AD410" s="69"/>
      <c r="AE410" s="69"/>
      <c r="AG410" s="67"/>
    </row>
    <row r="411" spans="1:33" s="73" customFormat="1" outlineLevel="1">
      <c r="A411" s="83"/>
      <c r="B411" s="84"/>
      <c r="C411" s="458" t="s">
        <v>469</v>
      </c>
      <c r="D411" s="459">
        <f>SUM(D412:D414)</f>
        <v>562</v>
      </c>
      <c r="E411" s="460">
        <f>SUM(E412:E414)</f>
        <v>0</v>
      </c>
      <c r="F411" s="461">
        <f>SUM(F412:F414)</f>
        <v>562</v>
      </c>
      <c r="G411" s="125"/>
      <c r="H411" s="227">
        <v>1</v>
      </c>
      <c r="I411" s="157" t="s">
        <v>108</v>
      </c>
      <c r="J411" s="158">
        <v>323</v>
      </c>
      <c r="K411" s="228">
        <v>2269349471.9736671</v>
      </c>
      <c r="M411" s="283"/>
      <c r="N411" s="282"/>
      <c r="O411" s="279"/>
      <c r="P411" s="84"/>
      <c r="Q411" s="84"/>
      <c r="R411" s="84"/>
      <c r="S411" s="84"/>
      <c r="X411" s="121"/>
      <c r="Y411" s="121"/>
      <c r="Z411" s="121"/>
      <c r="AA411" s="75"/>
      <c r="AB411" s="75"/>
      <c r="AC411" s="76"/>
      <c r="AD411" s="69"/>
      <c r="AE411" s="69"/>
      <c r="AG411" s="67"/>
    </row>
    <row r="412" spans="1:33" s="73" customFormat="1" outlineLevel="1">
      <c r="A412" s="83"/>
      <c r="B412" s="84"/>
      <c r="C412" s="163" t="s">
        <v>23</v>
      </c>
      <c r="D412" s="862">
        <v>46</v>
      </c>
      <c r="E412" s="164">
        <f>$G$218/1000000</f>
        <v>0</v>
      </c>
      <c r="F412" s="165">
        <f>SUM(D412:E412)</f>
        <v>46</v>
      </c>
      <c r="H412" s="227">
        <v>2</v>
      </c>
      <c r="I412" s="157" t="s">
        <v>84</v>
      </c>
      <c r="J412" s="158">
        <v>588</v>
      </c>
      <c r="K412" s="228">
        <v>1397761191.65184</v>
      </c>
      <c r="M412" s="283"/>
      <c r="N412" s="282"/>
      <c r="O412" s="279"/>
      <c r="P412" s="84"/>
      <c r="Q412" s="84"/>
      <c r="R412" s="84"/>
      <c r="S412" s="84"/>
      <c r="X412" s="121"/>
      <c r="Y412" s="121"/>
      <c r="Z412" s="121"/>
      <c r="AA412" s="75"/>
      <c r="AB412" s="75"/>
      <c r="AC412" s="76"/>
      <c r="AD412" s="69"/>
      <c r="AE412" s="69"/>
      <c r="AG412" s="67"/>
    </row>
    <row r="413" spans="1:33" s="73" customFormat="1" outlineLevel="1">
      <c r="A413" s="83"/>
      <c r="B413" s="84"/>
      <c r="C413" s="163" t="s">
        <v>22</v>
      </c>
      <c r="D413" s="863"/>
      <c r="E413" s="164">
        <f>$G$219/1000000</f>
        <v>0</v>
      </c>
      <c r="F413" s="165">
        <f>SUM(D413:E413)</f>
        <v>0</v>
      </c>
      <c r="H413" s="227">
        <v>3</v>
      </c>
      <c r="I413" s="157" t="s">
        <v>192</v>
      </c>
      <c r="J413" s="158">
        <v>275</v>
      </c>
      <c r="K413" s="228">
        <v>1327063455.6029713</v>
      </c>
      <c r="M413" s="283"/>
      <c r="N413" s="282"/>
      <c r="O413" s="279"/>
      <c r="P413" s="84"/>
      <c r="Q413" s="84"/>
      <c r="R413" s="84"/>
      <c r="S413" s="84"/>
      <c r="X413" s="121"/>
      <c r="Y413" s="121"/>
      <c r="Z413" s="121"/>
      <c r="AA413" s="75"/>
      <c r="AB413" s="75"/>
      <c r="AC413" s="76"/>
      <c r="AD413" s="69"/>
      <c r="AE413" s="69"/>
      <c r="AG413" s="67"/>
    </row>
    <row r="414" spans="1:33" s="73" customFormat="1" ht="15" outlineLevel="1" thickBot="1">
      <c r="A414" s="83"/>
      <c r="B414" s="84"/>
      <c r="C414" s="570" t="s">
        <v>579</v>
      </c>
      <c r="D414" s="571">
        <v>516</v>
      </c>
      <c r="E414" s="572">
        <f>$G$220/1000000</f>
        <v>0</v>
      </c>
      <c r="F414" s="573">
        <f>SUM(D414:E414)</f>
        <v>516</v>
      </c>
      <c r="H414" s="227">
        <v>4</v>
      </c>
      <c r="I414" s="157" t="s">
        <v>80</v>
      </c>
      <c r="J414" s="158">
        <v>39</v>
      </c>
      <c r="K414" s="228">
        <v>503710854.20630002</v>
      </c>
      <c r="M414" s="283"/>
      <c r="N414" s="282"/>
      <c r="O414" s="279"/>
      <c r="P414" s="84"/>
      <c r="Q414" s="84"/>
      <c r="R414" s="84"/>
      <c r="S414" s="84"/>
      <c r="X414" s="121"/>
      <c r="Y414" s="121"/>
      <c r="Z414" s="121"/>
      <c r="AA414" s="75"/>
      <c r="AB414" s="75"/>
      <c r="AC414" s="76"/>
      <c r="AD414" s="69"/>
      <c r="AE414" s="69"/>
      <c r="AG414" s="67"/>
    </row>
    <row r="415" spans="1:33" s="73" customFormat="1" ht="15" outlineLevel="1" thickTop="1">
      <c r="A415" s="83"/>
      <c r="B415" s="84"/>
      <c r="C415" s="579" t="s">
        <v>810</v>
      </c>
      <c r="D415" s="580">
        <v>0.04</v>
      </c>
      <c r="E415" s="580">
        <v>5.0999999999999997E-2</v>
      </c>
      <c r="F415" s="581"/>
      <c r="H415" s="227">
        <v>5</v>
      </c>
      <c r="I415" s="230" t="s">
        <v>83</v>
      </c>
      <c r="J415" s="158">
        <v>7</v>
      </c>
      <c r="K415" s="228">
        <v>310773181.24000001</v>
      </c>
      <c r="M415" s="283"/>
      <c r="N415" s="282"/>
      <c r="O415" s="279"/>
      <c r="P415" s="84"/>
      <c r="Q415" s="84"/>
      <c r="R415" s="84"/>
      <c r="S415" s="84"/>
      <c r="X415" s="121"/>
      <c r="Y415" s="121"/>
      <c r="Z415" s="121"/>
      <c r="AA415" s="75"/>
      <c r="AB415" s="75"/>
      <c r="AC415" s="76"/>
      <c r="AD415" s="69"/>
      <c r="AE415" s="69"/>
      <c r="AG415" s="67"/>
    </row>
    <row r="416" spans="1:33" s="73" customFormat="1" outlineLevel="1">
      <c r="A416" s="83"/>
      <c r="B416" s="84"/>
      <c r="C416" s="568" t="s">
        <v>809</v>
      </c>
      <c r="D416" s="576">
        <v>14453.838</v>
      </c>
      <c r="E416" s="576">
        <v>16201.444</v>
      </c>
      <c r="F416" s="576"/>
      <c r="H416" s="227">
        <v>6</v>
      </c>
      <c r="I416" s="157" t="s">
        <v>228</v>
      </c>
      <c r="J416" s="158">
        <v>258</v>
      </c>
      <c r="K416" s="228">
        <v>234866610.838</v>
      </c>
      <c r="M416" s="283"/>
      <c r="N416" s="282"/>
      <c r="O416" s="279"/>
      <c r="P416" s="84"/>
      <c r="Q416" s="84"/>
      <c r="R416" s="84"/>
      <c r="S416" s="84"/>
      <c r="X416" s="121"/>
      <c r="Y416" s="121"/>
      <c r="Z416" s="121"/>
      <c r="AA416" s="75"/>
      <c r="AB416" s="75"/>
      <c r="AC416" s="76"/>
      <c r="AD416" s="69"/>
      <c r="AE416" s="69"/>
      <c r="AG416" s="67"/>
    </row>
    <row r="417" spans="1:33" s="73" customFormat="1" outlineLevel="1">
      <c r="A417" s="83"/>
      <c r="B417" s="84"/>
      <c r="C417" s="575" t="s">
        <v>590</v>
      </c>
      <c r="D417" s="569">
        <v>14184.337</v>
      </c>
      <c r="E417" s="569">
        <v>15743.78</v>
      </c>
      <c r="F417" s="569"/>
      <c r="H417" s="227">
        <v>7</v>
      </c>
      <c r="I417" s="157" t="s">
        <v>168</v>
      </c>
      <c r="J417" s="158">
        <v>14</v>
      </c>
      <c r="K417" s="228">
        <v>210218910</v>
      </c>
      <c r="M417" s="283"/>
      <c r="N417" s="282"/>
      <c r="O417" s="279"/>
      <c r="P417" s="84"/>
      <c r="Q417" s="84"/>
      <c r="R417" s="84"/>
      <c r="S417" s="84"/>
      <c r="X417" s="121"/>
      <c r="Y417" s="121"/>
      <c r="Z417" s="121"/>
      <c r="AA417" s="75"/>
      <c r="AB417" s="75"/>
      <c r="AC417" s="76"/>
      <c r="AD417" s="69"/>
      <c r="AE417" s="69"/>
      <c r="AG417" s="67"/>
    </row>
    <row r="418" spans="1:33" s="73" customFormat="1" outlineLevel="1">
      <c r="A418" s="83"/>
      <c r="B418" s="84"/>
      <c r="C418" s="293" t="s">
        <v>589</v>
      </c>
      <c r="D418" s="582">
        <f>D416*D$415</f>
        <v>578.15351999999996</v>
      </c>
      <c r="E418" s="582">
        <f>E416*E$415</f>
        <v>826.27364399999988</v>
      </c>
      <c r="F418" s="162">
        <f>SUM(D418:E418)</f>
        <v>1404.4271639999997</v>
      </c>
      <c r="H418" s="227">
        <v>8</v>
      </c>
      <c r="I418" s="157" t="s">
        <v>281</v>
      </c>
      <c r="J418" s="158">
        <v>10</v>
      </c>
      <c r="K418" s="228">
        <v>173671978</v>
      </c>
      <c r="M418" s="283"/>
      <c r="N418" s="282"/>
      <c r="O418" s="279"/>
      <c r="P418" s="84"/>
      <c r="Q418" s="84"/>
      <c r="R418" s="84"/>
      <c r="S418" s="84"/>
      <c r="X418" s="121"/>
      <c r="Y418" s="121"/>
      <c r="Z418" s="121"/>
      <c r="AA418" s="75"/>
      <c r="AB418" s="75"/>
      <c r="AC418" s="76"/>
      <c r="AD418" s="69"/>
      <c r="AE418" s="69"/>
      <c r="AG418" s="67"/>
    </row>
    <row r="419" spans="1:33" s="73" customFormat="1" ht="15" outlineLevel="1" thickBot="1">
      <c r="A419" s="83"/>
      <c r="B419" s="84"/>
      <c r="C419" s="577" t="s">
        <v>590</v>
      </c>
      <c r="D419" s="583">
        <f>D417*D$415</f>
        <v>567.37347999999997</v>
      </c>
      <c r="E419" s="583">
        <f>E417*E$415</f>
        <v>802.93277999999998</v>
      </c>
      <c r="F419" s="578">
        <f>SUM(D419:E419)</f>
        <v>1370.3062599999998</v>
      </c>
      <c r="H419" s="229">
        <v>9</v>
      </c>
      <c r="I419" s="159" t="s">
        <v>218</v>
      </c>
      <c r="J419" s="158">
        <v>25</v>
      </c>
      <c r="K419" s="228">
        <v>131503427.04000001</v>
      </c>
      <c r="M419" s="283"/>
      <c r="N419" s="282"/>
      <c r="O419" s="279"/>
      <c r="P419" s="84"/>
      <c r="Q419" s="84"/>
      <c r="R419" s="84"/>
      <c r="S419" s="84"/>
      <c r="X419" s="121"/>
      <c r="Y419" s="121"/>
      <c r="Z419" s="121"/>
      <c r="AA419" s="75"/>
      <c r="AB419" s="75"/>
      <c r="AC419" s="76"/>
      <c r="AD419" s="69"/>
      <c r="AE419" s="69"/>
      <c r="AG419" s="67"/>
    </row>
    <row r="420" spans="1:33" s="73" customFormat="1" ht="15" outlineLevel="1" thickTop="1">
      <c r="A420" s="83"/>
      <c r="B420" s="84"/>
      <c r="C420" s="574" t="s">
        <v>811</v>
      </c>
      <c r="D420" s="587" t="str">
        <f>"High Est: "&amp;ROUND(D411-D418,0)</f>
        <v>High Est: -16</v>
      </c>
      <c r="E420" s="587" t="str">
        <f>"High Est: "&amp;ROUND(E411-E418,0)</f>
        <v>High Est: -826</v>
      </c>
      <c r="F420" s="584">
        <f>F411-F418</f>
        <v>-842.42716399999972</v>
      </c>
      <c r="H420" s="227">
        <v>10</v>
      </c>
      <c r="I420" s="157" t="s">
        <v>226</v>
      </c>
      <c r="J420" s="158">
        <v>108</v>
      </c>
      <c r="K420" s="228">
        <v>98912735.415333346</v>
      </c>
      <c r="M420" s="283"/>
      <c r="N420" s="282"/>
      <c r="O420" s="279"/>
      <c r="P420" s="84"/>
      <c r="Q420" s="84"/>
      <c r="R420" s="84"/>
      <c r="S420" s="84"/>
      <c r="X420" s="121"/>
      <c r="Y420" s="121"/>
      <c r="Z420" s="121"/>
      <c r="AA420" s="75"/>
      <c r="AB420" s="75"/>
      <c r="AC420" s="76"/>
      <c r="AD420" s="69"/>
      <c r="AE420" s="69"/>
      <c r="AG420" s="67"/>
    </row>
    <row r="421" spans="1:33" s="73" customFormat="1" outlineLevel="1">
      <c r="A421" s="83"/>
      <c r="B421" s="84"/>
      <c r="C421" s="586" t="s">
        <v>812</v>
      </c>
      <c r="D421" s="588" t="str">
        <f>"Low Est: "&amp;ROUND(D411-D419,0)</f>
        <v>Low Est: -5</v>
      </c>
      <c r="E421" s="588" t="str">
        <f>"Low Est: "&amp;ROUND(E411-E419,0)</f>
        <v>Low Est: -803</v>
      </c>
      <c r="F421" s="585">
        <f>F411-F419</f>
        <v>-808.30625999999984</v>
      </c>
      <c r="H421" s="231" t="s">
        <v>450</v>
      </c>
      <c r="I421" s="232"/>
      <c r="J421" s="150">
        <f>SUM(J411:J420)</f>
        <v>1647</v>
      </c>
      <c r="K421" s="236">
        <f>SUM(K411:K420)</f>
        <v>6657831815.968112</v>
      </c>
      <c r="M421" s="283"/>
      <c r="N421" s="282"/>
      <c r="O421" s="279"/>
      <c r="P421" s="84"/>
      <c r="Q421" s="84"/>
      <c r="R421" s="84"/>
      <c r="S421" s="84"/>
      <c r="X421" s="121"/>
      <c r="Y421" s="121"/>
      <c r="Z421" s="121"/>
      <c r="AA421" s="75"/>
      <c r="AB421" s="75"/>
      <c r="AC421" s="76"/>
      <c r="AD421" s="69"/>
      <c r="AE421" s="69"/>
      <c r="AG421" s="67"/>
    </row>
    <row r="422" spans="1:33" s="73" customFormat="1" outlineLevel="1">
      <c r="A422" s="83"/>
      <c r="B422" s="84"/>
      <c r="C422" s="84"/>
      <c r="D422" s="278"/>
      <c r="E422" s="278"/>
      <c r="H422" s="125"/>
      <c r="I422" s="125"/>
      <c r="J422" s="706" t="s">
        <v>854</v>
      </c>
      <c r="K422" s="248" t="e">
        <f>K421/J496</f>
        <v>#REF!</v>
      </c>
      <c r="M422" s="255"/>
      <c r="N422" s="160"/>
      <c r="O422" s="84"/>
      <c r="P422" s="84"/>
      <c r="Q422" s="84"/>
      <c r="R422" s="84"/>
      <c r="S422" s="84"/>
      <c r="X422" s="121"/>
      <c r="Y422" s="121"/>
      <c r="Z422" s="121"/>
      <c r="AA422" s="75"/>
      <c r="AB422" s="75"/>
      <c r="AC422" s="76"/>
      <c r="AD422" s="69"/>
      <c r="AE422" s="69"/>
      <c r="AG422" s="67"/>
    </row>
    <row r="423" spans="1:33" s="73" customFormat="1" outlineLevel="1">
      <c r="A423" s="83"/>
      <c r="B423" s="84"/>
      <c r="K423" s="120" t="s">
        <v>762</v>
      </c>
      <c r="M423" s="255"/>
      <c r="N423" s="160"/>
      <c r="O423" s="84"/>
      <c r="P423" s="84"/>
      <c r="Q423" s="84"/>
      <c r="R423" s="84"/>
      <c r="S423" s="84"/>
      <c r="X423" s="121"/>
      <c r="Y423" s="121"/>
      <c r="Z423" s="121"/>
      <c r="AA423" s="75"/>
      <c r="AB423" s="75"/>
      <c r="AC423" s="76"/>
      <c r="AD423" s="69"/>
      <c r="AE423" s="69"/>
      <c r="AG423" s="67"/>
    </row>
    <row r="424" spans="1:33" s="73" customFormat="1" outlineLevel="1">
      <c r="A424" s="83"/>
      <c r="B424" s="84"/>
      <c r="H424" s="125"/>
      <c r="M424" s="255"/>
      <c r="N424" s="160"/>
      <c r="O424" s="84"/>
      <c r="P424" s="84"/>
      <c r="Q424" s="84"/>
      <c r="R424" s="84"/>
      <c r="S424" s="84"/>
      <c r="X424" s="121"/>
      <c r="Y424" s="121"/>
      <c r="Z424" s="121"/>
      <c r="AA424" s="75"/>
      <c r="AB424" s="75"/>
      <c r="AC424" s="76"/>
      <c r="AD424" s="69"/>
      <c r="AE424" s="69"/>
      <c r="AG424" s="67"/>
    </row>
    <row r="425" spans="1:33" s="73" customFormat="1" ht="15.6" outlineLevel="1">
      <c r="A425" s="83"/>
      <c r="B425" s="84"/>
      <c r="C425" s="276" t="s">
        <v>575</v>
      </c>
      <c r="D425"/>
      <c r="E425"/>
      <c r="F425"/>
      <c r="G425"/>
      <c r="H425" s="125"/>
      <c r="M425" s="61"/>
      <c r="N425" s="82"/>
      <c r="O425" s="84"/>
      <c r="P425" s="84"/>
      <c r="Q425" s="84"/>
      <c r="R425" s="84"/>
      <c r="S425" s="84"/>
      <c r="X425" s="121"/>
      <c r="Y425" s="121"/>
      <c r="Z425" s="121"/>
      <c r="AA425" s="75"/>
      <c r="AB425" s="75"/>
      <c r="AC425" s="76"/>
      <c r="AD425" s="69"/>
      <c r="AE425" s="69"/>
      <c r="AG425" s="67"/>
    </row>
    <row r="426" spans="1:33" s="73" customFormat="1" ht="57.6" outlineLevel="1">
      <c r="A426" s="83"/>
      <c r="B426" s="84"/>
      <c r="C426" s="199" t="s">
        <v>572</v>
      </c>
      <c r="D426" s="199" t="s">
        <v>240</v>
      </c>
      <c r="E426" s="723" t="s">
        <v>868</v>
      </c>
      <c r="F426" s="199" t="s">
        <v>867</v>
      </c>
      <c r="G426" s="199" t="s">
        <v>570</v>
      </c>
      <c r="H426" s="199" t="s">
        <v>574</v>
      </c>
      <c r="I426" s="199" t="s">
        <v>865</v>
      </c>
      <c r="J426" s="199" t="s">
        <v>866</v>
      </c>
      <c r="K426"/>
      <c r="L426"/>
      <c r="M426" s="61"/>
      <c r="N426" s="82"/>
      <c r="O426" s="84"/>
      <c r="P426" s="84"/>
      <c r="Q426" s="84"/>
      <c r="R426" s="84"/>
      <c r="S426" s="84"/>
      <c r="X426" s="121"/>
      <c r="Y426" s="121"/>
      <c r="Z426" s="121"/>
      <c r="AA426" s="75"/>
      <c r="AB426" s="75"/>
      <c r="AC426" s="76"/>
      <c r="AD426" s="69"/>
      <c r="AE426" s="69"/>
      <c r="AG426" s="67"/>
    </row>
    <row r="427" spans="1:33" s="73" customFormat="1" outlineLevel="1">
      <c r="A427" s="83"/>
      <c r="B427" s="84"/>
      <c r="C427" s="707" t="s">
        <v>14</v>
      </c>
      <c r="D427" s="399">
        <v>215</v>
      </c>
      <c r="E427" s="708">
        <v>2400003453.8258877</v>
      </c>
      <c r="F427" s="708"/>
      <c r="G427" s="709">
        <v>92335113</v>
      </c>
      <c r="H427" s="708">
        <v>26030.163848858756</v>
      </c>
      <c r="I427" s="708"/>
      <c r="J427" s="708"/>
      <c r="K427" s="662"/>
      <c r="L427" s="663"/>
      <c r="M427" s="663"/>
      <c r="N427" s="82"/>
      <c r="O427" s="84"/>
      <c r="P427" s="84"/>
      <c r="Q427" s="84"/>
      <c r="R427" s="84"/>
      <c r="S427" s="84"/>
      <c r="X427" s="121"/>
      <c r="Y427" s="121"/>
      <c r="Z427" s="121"/>
      <c r="AA427" s="75"/>
      <c r="AB427" s="75"/>
      <c r="AC427" s="76"/>
      <c r="AD427" s="69"/>
      <c r="AE427" s="69"/>
      <c r="AG427" s="67"/>
    </row>
    <row r="428" spans="1:33" s="73" customFormat="1" outlineLevel="1">
      <c r="A428" s="83"/>
      <c r="B428" s="84"/>
      <c r="C428" s="707" t="s">
        <v>573</v>
      </c>
      <c r="D428" s="399">
        <v>156</v>
      </c>
      <c r="E428" s="708">
        <v>1122628168.5756664</v>
      </c>
      <c r="F428" s="708">
        <v>1122628168.5756664</v>
      </c>
      <c r="G428" s="709" t="s">
        <v>571</v>
      </c>
      <c r="H428" s="708" t="s">
        <v>571</v>
      </c>
      <c r="I428" s="708"/>
      <c r="J428" s="708"/>
      <c r="K428" s="662"/>
      <c r="L428" s="663"/>
      <c r="M428" s="663"/>
      <c r="N428" s="89"/>
      <c r="O428" s="84"/>
      <c r="P428" s="84"/>
      <c r="Q428" s="84"/>
      <c r="R428" s="84"/>
      <c r="S428" s="84"/>
      <c r="X428" s="121"/>
      <c r="Y428" s="121"/>
      <c r="Z428" s="121"/>
      <c r="AA428" s="75"/>
      <c r="AB428" s="75"/>
      <c r="AC428" s="76"/>
      <c r="AD428" s="69"/>
      <c r="AE428" s="69"/>
      <c r="AG428" s="67"/>
    </row>
    <row r="429" spans="1:33" s="73" customFormat="1" outlineLevel="1">
      <c r="A429" s="83"/>
      <c r="B429" s="84"/>
      <c r="C429" s="707" t="s">
        <v>409</v>
      </c>
      <c r="D429" s="399">
        <v>57</v>
      </c>
      <c r="E429" s="708">
        <v>23688250.846333332</v>
      </c>
      <c r="F429" s="708"/>
      <c r="G429" s="709" t="s">
        <v>571</v>
      </c>
      <c r="H429" s="708" t="s">
        <v>571</v>
      </c>
      <c r="I429" s="708"/>
      <c r="J429" s="708"/>
      <c r="K429" s="662"/>
      <c r="L429" s="663"/>
      <c r="M429" s="663"/>
      <c r="N429" s="89"/>
      <c r="O429" s="84"/>
      <c r="P429" s="84"/>
      <c r="Q429" s="84"/>
      <c r="R429" s="84"/>
      <c r="S429" s="84"/>
      <c r="X429" s="121"/>
      <c r="Y429" s="121"/>
      <c r="Z429" s="121"/>
      <c r="AA429" s="75"/>
      <c r="AB429" s="75"/>
      <c r="AC429" s="76"/>
      <c r="AD429" s="69"/>
      <c r="AE429" s="69"/>
      <c r="AG429" s="67"/>
    </row>
    <row r="430" spans="1:33" s="73" customFormat="1" outlineLevel="1">
      <c r="A430" s="83"/>
      <c r="B430" s="84"/>
      <c r="C430" s="382" t="s">
        <v>98</v>
      </c>
      <c r="D430" s="357">
        <v>181</v>
      </c>
      <c r="E430" s="710">
        <v>69137676.347790003</v>
      </c>
      <c r="F430" s="710">
        <f>E430+(SUM($E$429,$E$427)/COUNT($D$430:$D$446))</f>
        <v>211707776.62262654</v>
      </c>
      <c r="G430" s="711">
        <v>4748372</v>
      </c>
      <c r="H430" s="710">
        <v>14560.290631776534</v>
      </c>
      <c r="I430" s="710">
        <v>359706534.52999997</v>
      </c>
      <c r="J430" s="710"/>
      <c r="K430" s="662"/>
      <c r="L430" s="663"/>
      <c r="M430" s="663"/>
      <c r="N430" s="89"/>
      <c r="O430" s="84"/>
      <c r="P430" s="84"/>
      <c r="Q430" s="84"/>
      <c r="R430" s="84"/>
      <c r="S430" s="84"/>
      <c r="X430" s="121"/>
      <c r="Y430" s="121"/>
      <c r="Z430" s="121"/>
      <c r="AA430" s="75"/>
      <c r="AB430" s="75"/>
      <c r="AC430" s="76"/>
      <c r="AD430" s="69"/>
      <c r="AE430" s="69"/>
      <c r="AG430" s="67"/>
    </row>
    <row r="431" spans="1:33" s="73" customFormat="1" outlineLevel="1">
      <c r="A431" s="83"/>
      <c r="B431" s="84"/>
      <c r="C431" s="382" t="s">
        <v>92</v>
      </c>
      <c r="D431" s="357">
        <v>147</v>
      </c>
      <c r="E431" s="710">
        <v>55457641.379349999</v>
      </c>
      <c r="F431" s="710">
        <f t="shared" ref="F431:F446" si="34">E431+(SUM($E$429,$E$427)/COUNT($D$430:$D$446))</f>
        <v>198027741.65418655</v>
      </c>
      <c r="G431" s="711">
        <v>3229163</v>
      </c>
      <c r="H431" s="710">
        <v>17173.998766661825</v>
      </c>
      <c r="I431" s="710">
        <v>208546726.68000001</v>
      </c>
      <c r="J431" s="710"/>
      <c r="K431" s="662"/>
      <c r="L431" s="663"/>
      <c r="M431" s="663"/>
      <c r="N431" s="89"/>
      <c r="O431" s="84"/>
      <c r="P431" s="84"/>
      <c r="Q431" s="84"/>
      <c r="R431" s="84"/>
      <c r="S431" s="84"/>
      <c r="X431" s="121"/>
      <c r="Y431" s="121"/>
      <c r="Z431" s="121"/>
      <c r="AA431" s="75"/>
      <c r="AB431" s="75"/>
      <c r="AC431" s="76"/>
      <c r="AD431" s="69"/>
      <c r="AE431" s="69"/>
      <c r="AG431" s="67"/>
    </row>
    <row r="432" spans="1:33" s="73" customFormat="1" outlineLevel="1">
      <c r="A432" s="83"/>
      <c r="B432" s="84"/>
      <c r="C432" s="211" t="s">
        <v>97</v>
      </c>
      <c r="D432" s="155">
        <v>252</v>
      </c>
      <c r="E432" s="712">
        <v>980751881.75949931</v>
      </c>
      <c r="F432" s="710">
        <f t="shared" si="34"/>
        <v>1123321982.0343359</v>
      </c>
      <c r="G432" s="713">
        <v>10137737</v>
      </c>
      <c r="H432" s="712">
        <v>96000.075645235163</v>
      </c>
      <c r="I432" s="712">
        <v>1018224367.09</v>
      </c>
      <c r="J432" s="712"/>
      <c r="K432" s="662"/>
      <c r="L432" s="663"/>
      <c r="M432" s="663"/>
      <c r="N432" s="89"/>
      <c r="O432" s="84"/>
      <c r="P432" s="84"/>
      <c r="Q432" s="84"/>
      <c r="R432" s="84"/>
      <c r="S432" s="84"/>
      <c r="X432" s="121"/>
      <c r="Y432" s="121"/>
      <c r="Z432" s="121"/>
      <c r="AA432" s="75"/>
      <c r="AB432" s="75"/>
      <c r="AC432" s="76"/>
      <c r="AD432" s="69"/>
      <c r="AE432" s="69"/>
      <c r="AG432" s="67"/>
    </row>
    <row r="433" spans="1:33" s="73" customFormat="1" outlineLevel="1">
      <c r="A433" s="83"/>
      <c r="B433" s="84"/>
      <c r="C433" s="382" t="s">
        <v>112</v>
      </c>
      <c r="D433" s="357">
        <v>205</v>
      </c>
      <c r="E433" s="710">
        <v>320113166.10733336</v>
      </c>
      <c r="F433" s="710">
        <f t="shared" si="34"/>
        <v>462683266.3821699</v>
      </c>
      <c r="G433" s="711">
        <v>12609803</v>
      </c>
      <c r="H433" s="710">
        <v>25386.056079332357</v>
      </c>
      <c r="I433" s="710">
        <v>1881381140.53</v>
      </c>
      <c r="J433" s="710"/>
      <c r="K433" s="662"/>
      <c r="L433" s="663"/>
      <c r="M433" s="663"/>
      <c r="N433" s="89"/>
      <c r="O433" s="84"/>
      <c r="P433" s="84"/>
      <c r="Q433" s="84"/>
      <c r="R433" s="84"/>
      <c r="S433" s="84"/>
      <c r="X433" s="121"/>
      <c r="Y433" s="121"/>
      <c r="Z433" s="121"/>
      <c r="AA433" s="75"/>
      <c r="AB433" s="75"/>
      <c r="AC433" s="76"/>
      <c r="AD433" s="69"/>
      <c r="AE433" s="69"/>
      <c r="AG433" s="67"/>
    </row>
    <row r="434" spans="1:33" s="73" customFormat="1" outlineLevel="1">
      <c r="A434" s="83"/>
      <c r="B434" s="84"/>
      <c r="C434" s="211" t="s">
        <v>93</v>
      </c>
      <c r="D434" s="155">
        <v>159</v>
      </c>
      <c r="E434" s="712">
        <v>33535221.608999997</v>
      </c>
      <c r="F434" s="710">
        <f t="shared" si="34"/>
        <v>176105321.88383654</v>
      </c>
      <c r="G434" s="713">
        <v>2744671</v>
      </c>
      <c r="H434" s="712">
        <v>12218.302889125873</v>
      </c>
      <c r="I434" s="712">
        <v>186762077.97</v>
      </c>
      <c r="J434" s="712"/>
      <c r="K434" s="662"/>
      <c r="L434" s="663"/>
      <c r="M434" s="663"/>
      <c r="N434" s="89"/>
      <c r="O434" s="84"/>
      <c r="P434" s="84"/>
      <c r="Q434" s="84"/>
      <c r="R434" s="84"/>
      <c r="S434" s="84"/>
      <c r="X434" s="121"/>
      <c r="Y434" s="121"/>
      <c r="Z434" s="121"/>
      <c r="AA434" s="75"/>
      <c r="AB434" s="75"/>
      <c r="AC434" s="76"/>
      <c r="AD434" s="69"/>
      <c r="AE434" s="69"/>
      <c r="AG434" s="67"/>
    </row>
    <row r="435" spans="1:33" s="73" customFormat="1" outlineLevel="1">
      <c r="A435" s="83"/>
      <c r="B435" s="84"/>
      <c r="C435" s="211" t="s">
        <v>95</v>
      </c>
      <c r="D435" s="155">
        <v>133</v>
      </c>
      <c r="E435" s="712">
        <v>38516149.26805</v>
      </c>
      <c r="F435" s="710">
        <f t="shared" si="34"/>
        <v>181086249.54288656</v>
      </c>
      <c r="G435" s="713">
        <v>5420411</v>
      </c>
      <c r="H435" s="712">
        <v>6818.7455283464669</v>
      </c>
      <c r="I435" s="712">
        <v>240303495.80000001</v>
      </c>
      <c r="J435" s="712"/>
      <c r="K435" s="662"/>
      <c r="L435" s="663"/>
      <c r="M435" s="663"/>
      <c r="N435" s="89"/>
      <c r="O435" s="84"/>
      <c r="P435" s="84"/>
      <c r="Q435" s="84"/>
      <c r="R435" s="84"/>
      <c r="S435" s="84"/>
      <c r="X435" s="121"/>
      <c r="Y435" s="121"/>
      <c r="Z435" s="121"/>
      <c r="AA435" s="75"/>
      <c r="AB435" s="75"/>
      <c r="AC435" s="76"/>
      <c r="AD435" s="69"/>
      <c r="AE435" s="69"/>
      <c r="AG435" s="67"/>
    </row>
    <row r="436" spans="1:33" s="73" customFormat="1" outlineLevel="1">
      <c r="A436" s="83"/>
      <c r="B436" s="84"/>
      <c r="C436" s="382" t="s">
        <v>88</v>
      </c>
      <c r="D436" s="357">
        <v>292</v>
      </c>
      <c r="E436" s="710">
        <v>306675814.14359999</v>
      </c>
      <c r="F436" s="710">
        <f t="shared" si="34"/>
        <v>449245914.41843653</v>
      </c>
      <c r="G436" s="711">
        <v>7102438</v>
      </c>
      <c r="H436" s="710">
        <v>43178.949839984518</v>
      </c>
      <c r="I436" s="710">
        <v>455654312.11000001</v>
      </c>
      <c r="J436" s="710"/>
      <c r="K436" s="662"/>
      <c r="L436" s="663"/>
      <c r="M436" s="663"/>
      <c r="N436" s="89"/>
      <c r="O436" s="84"/>
      <c r="P436" s="84"/>
      <c r="Q436" s="84"/>
      <c r="R436" s="84"/>
      <c r="S436" s="84"/>
      <c r="X436" s="121"/>
      <c r="Y436" s="121"/>
      <c r="Z436" s="121"/>
      <c r="AA436" s="75"/>
      <c r="AB436" s="75"/>
      <c r="AC436" s="76"/>
      <c r="AD436" s="69"/>
      <c r="AE436" s="69"/>
      <c r="AG436" s="67"/>
    </row>
    <row r="437" spans="1:33" s="73" customFormat="1" outlineLevel="1">
      <c r="A437" s="83"/>
      <c r="B437" s="84"/>
      <c r="C437" s="382" t="s">
        <v>99</v>
      </c>
      <c r="D437" s="357">
        <v>133</v>
      </c>
      <c r="E437" s="710">
        <v>124252865.99305001</v>
      </c>
      <c r="F437" s="710">
        <f t="shared" si="34"/>
        <v>266822966.26788655</v>
      </c>
      <c r="G437" s="711">
        <v>6800180</v>
      </c>
      <c r="H437" s="710">
        <v>18259.210587521215</v>
      </c>
      <c r="I437" s="710">
        <v>732977309.90999997</v>
      </c>
      <c r="J437" s="710"/>
      <c r="K437" s="662"/>
      <c r="L437" s="663"/>
      <c r="M437" s="663"/>
      <c r="N437" s="89"/>
      <c r="O437" s="84"/>
      <c r="P437" s="84"/>
      <c r="Q437" s="84"/>
      <c r="R437" s="84"/>
      <c r="S437" s="84"/>
      <c r="X437" s="121"/>
      <c r="Y437" s="121"/>
      <c r="Z437" s="121"/>
      <c r="AA437" s="75"/>
      <c r="AB437" s="75"/>
      <c r="AC437" s="76"/>
      <c r="AD437" s="69"/>
      <c r="AE437" s="69"/>
      <c r="AG437" s="67"/>
    </row>
    <row r="438" spans="1:33" s="73" customFormat="1" outlineLevel="1">
      <c r="A438" s="83"/>
      <c r="B438" s="84"/>
      <c r="C438" s="382" t="s">
        <v>87</v>
      </c>
      <c r="D438" s="357">
        <v>183</v>
      </c>
      <c r="E438" s="710">
        <v>75793996.807549998</v>
      </c>
      <c r="F438" s="710">
        <f t="shared" si="34"/>
        <v>218364097.08238655</v>
      </c>
      <c r="G438" s="711">
        <v>4101322</v>
      </c>
      <c r="H438" s="710">
        <v>18485.258364876008</v>
      </c>
      <c r="I438" s="710">
        <v>250344509.37730485</v>
      </c>
      <c r="J438" s="710"/>
      <c r="K438" s="662"/>
      <c r="L438" s="663"/>
      <c r="M438" s="663"/>
      <c r="N438" s="89"/>
      <c r="O438" s="84"/>
      <c r="P438" s="84"/>
      <c r="Q438" s="84"/>
      <c r="R438" s="84"/>
      <c r="S438" s="84"/>
      <c r="X438" s="121"/>
      <c r="Y438" s="121"/>
      <c r="Z438" s="121"/>
      <c r="AA438" s="75"/>
      <c r="AB438" s="75"/>
      <c r="AC438" s="76"/>
      <c r="AD438" s="69"/>
      <c r="AE438" s="69"/>
      <c r="AG438" s="67"/>
    </row>
    <row r="439" spans="1:33" s="73" customFormat="1" outlineLevel="1">
      <c r="A439" s="83"/>
      <c r="B439" s="84"/>
      <c r="C439" s="211" t="s">
        <v>89</v>
      </c>
      <c r="D439" s="155">
        <v>125</v>
      </c>
      <c r="E439" s="712">
        <v>36285237.578050002</v>
      </c>
      <c r="F439" s="710">
        <f t="shared" si="34"/>
        <v>178855337.85288656</v>
      </c>
      <c r="G439" s="713">
        <v>3407353</v>
      </c>
      <c r="H439" s="712">
        <v>10649.098457967226</v>
      </c>
      <c r="I439" s="712">
        <v>230651364.46000001</v>
      </c>
      <c r="J439" s="712"/>
      <c r="K439" s="662"/>
      <c r="L439" s="663"/>
      <c r="M439" s="663"/>
      <c r="N439" s="89"/>
      <c r="O439" s="84"/>
      <c r="P439" s="84"/>
      <c r="Q439" s="84"/>
      <c r="R439" s="84"/>
      <c r="S439" s="84"/>
      <c r="X439" s="121"/>
      <c r="Y439" s="121"/>
      <c r="Z439" s="121"/>
      <c r="AA439" s="75"/>
      <c r="AB439" s="75"/>
      <c r="AC439" s="76"/>
      <c r="AD439" s="69"/>
      <c r="AE439" s="69"/>
      <c r="AG439" s="67"/>
    </row>
    <row r="440" spans="1:33" s="73" customFormat="1" outlineLevel="1">
      <c r="A440" s="83"/>
      <c r="B440" s="84"/>
      <c r="C440" s="382" t="s">
        <v>91</v>
      </c>
      <c r="D440" s="357">
        <v>145</v>
      </c>
      <c r="E440" s="710">
        <v>143962973.48954764</v>
      </c>
      <c r="F440" s="710">
        <f t="shared" si="34"/>
        <v>286533073.76438415</v>
      </c>
      <c r="G440" s="711">
        <v>4297323</v>
      </c>
      <c r="H440" s="710">
        <v>33493.636268334412</v>
      </c>
      <c r="I440" s="710">
        <v>438917210.64999998</v>
      </c>
      <c r="J440" s="710"/>
      <c r="K440" s="662"/>
      <c r="L440" s="663"/>
      <c r="M440" s="663"/>
      <c r="N440" s="89"/>
      <c r="O440" s="84"/>
      <c r="P440" s="84"/>
      <c r="Q440" s="84"/>
      <c r="R440" s="84"/>
      <c r="S440" s="84"/>
      <c r="X440" s="121"/>
      <c r="Y440" s="121"/>
      <c r="Z440" s="121"/>
      <c r="AA440" s="75"/>
      <c r="AB440" s="75"/>
      <c r="AC440" s="76"/>
      <c r="AD440" s="69"/>
      <c r="AE440" s="69"/>
      <c r="AG440" s="67"/>
    </row>
    <row r="441" spans="1:33" s="73" customFormat="1" outlineLevel="1">
      <c r="A441" s="83"/>
      <c r="B441" s="84"/>
      <c r="C441" s="382" t="s">
        <v>100</v>
      </c>
      <c r="D441" s="357">
        <v>100</v>
      </c>
      <c r="E441" s="710">
        <v>100993716.88521999</v>
      </c>
      <c r="F441" s="710">
        <f t="shared" si="34"/>
        <v>243563817.16005653</v>
      </c>
      <c r="G441" s="711">
        <v>4468563</v>
      </c>
      <c r="H441" s="710">
        <v>22600.938352042926</v>
      </c>
      <c r="I441" s="710">
        <v>461427166.99000001</v>
      </c>
      <c r="J441" s="710"/>
      <c r="K441" s="662"/>
      <c r="L441" s="663"/>
      <c r="M441" s="663"/>
      <c r="N441" s="89" t="s">
        <v>763</v>
      </c>
      <c r="O441" s="84"/>
      <c r="P441" s="84"/>
      <c r="Q441" s="84"/>
      <c r="R441" s="84"/>
      <c r="S441" s="84"/>
      <c r="X441" s="121"/>
      <c r="Y441" s="121"/>
      <c r="Z441" s="121"/>
      <c r="AA441" s="75"/>
      <c r="AB441" s="75"/>
      <c r="AC441" s="76"/>
      <c r="AD441" s="69"/>
      <c r="AE441" s="69"/>
      <c r="AG441" s="67"/>
    </row>
    <row r="442" spans="1:33" s="73" customFormat="1" outlineLevel="1">
      <c r="A442" s="83"/>
      <c r="B442" s="84"/>
      <c r="C442" s="382" t="s">
        <v>101</v>
      </c>
      <c r="D442" s="357">
        <v>101</v>
      </c>
      <c r="E442" s="710">
        <v>45947815.173050001</v>
      </c>
      <c r="F442" s="710">
        <f t="shared" si="34"/>
        <v>188517915.44788653</v>
      </c>
      <c r="G442" s="711">
        <v>4109571</v>
      </c>
      <c r="H442" s="710">
        <v>11174.600748606119</v>
      </c>
      <c r="I442" s="710">
        <v>333172764.04000002</v>
      </c>
      <c r="J442" s="710"/>
      <c r="K442" s="662"/>
      <c r="L442" s="663"/>
      <c r="M442" s="663"/>
      <c r="N442" s="89"/>
      <c r="O442" s="84"/>
      <c r="P442" s="84"/>
      <c r="Q442" s="84"/>
      <c r="R442" s="84"/>
      <c r="S442" s="84"/>
      <c r="X442" s="121"/>
      <c r="Y442" s="121"/>
      <c r="Z442" s="121"/>
      <c r="AA442" s="75"/>
      <c r="AB442" s="75"/>
      <c r="AC442" s="76"/>
      <c r="AD442" s="69"/>
      <c r="AE442" s="69"/>
      <c r="AG442" s="67"/>
    </row>
    <row r="443" spans="1:33" s="73" customFormat="1" outlineLevel="1">
      <c r="A443" s="83"/>
      <c r="B443" s="84"/>
      <c r="C443" s="211" t="s">
        <v>858</v>
      </c>
      <c r="D443" s="155">
        <v>137</v>
      </c>
      <c r="E443" s="712">
        <v>23352301.085500002</v>
      </c>
      <c r="F443" s="710">
        <f t="shared" si="34"/>
        <v>165922401.36033654</v>
      </c>
      <c r="G443" s="713">
        <v>2429224</v>
      </c>
      <c r="H443" s="712">
        <v>9613.0702996100808</v>
      </c>
      <c r="I443" s="712">
        <v>130475588.11</v>
      </c>
      <c r="J443" s="712"/>
      <c r="K443" s="662"/>
      <c r="L443" s="663"/>
      <c r="M443" s="663"/>
      <c r="N443" s="89"/>
      <c r="O443" s="84"/>
      <c r="P443" s="84"/>
      <c r="Q443" s="84"/>
      <c r="R443" s="84"/>
      <c r="S443" s="84"/>
      <c r="X443" s="121"/>
      <c r="Y443" s="121"/>
      <c r="Z443" s="121"/>
      <c r="AA443" s="75"/>
      <c r="AB443" s="75"/>
      <c r="AC443" s="76"/>
      <c r="AD443" s="69"/>
      <c r="AE443" s="69"/>
      <c r="AG443" s="67"/>
    </row>
    <row r="444" spans="1:33" s="73" customFormat="1" outlineLevel="1">
      <c r="A444" s="83"/>
      <c r="B444" s="84"/>
      <c r="C444" s="211" t="s">
        <v>137</v>
      </c>
      <c r="D444" s="155">
        <v>130</v>
      </c>
      <c r="E444" s="712">
        <v>30950539.780000001</v>
      </c>
      <c r="F444" s="710">
        <f t="shared" si="34"/>
        <v>173520640.05483654</v>
      </c>
      <c r="G444" s="713">
        <v>1616867</v>
      </c>
      <c r="H444" s="712">
        <v>18833.05168576018</v>
      </c>
      <c r="I444" s="712">
        <v>227924970.75</v>
      </c>
      <c r="J444" s="712"/>
      <c r="K444" s="662"/>
      <c r="L444" s="663"/>
      <c r="M444" s="663"/>
      <c r="N444" s="89"/>
      <c r="O444" s="84"/>
      <c r="P444" s="84"/>
      <c r="Q444" s="84"/>
      <c r="R444" s="84"/>
      <c r="S444" s="84"/>
      <c r="X444" s="121"/>
      <c r="Y444" s="121"/>
      <c r="Z444" s="121"/>
      <c r="AA444" s="75"/>
      <c r="AB444" s="75"/>
      <c r="AC444" s="76"/>
      <c r="AD444" s="69"/>
      <c r="AE444" s="69"/>
      <c r="AG444" s="67"/>
    </row>
    <row r="445" spans="1:33" s="73" customFormat="1" outlineLevel="1">
      <c r="A445" s="83"/>
      <c r="B445" s="84"/>
      <c r="C445" s="382" t="s">
        <v>94</v>
      </c>
      <c r="D445" s="357">
        <v>26</v>
      </c>
      <c r="E445" s="710">
        <v>51556049</v>
      </c>
      <c r="F445" s="710">
        <f t="shared" si="34"/>
        <v>194126149.27483654</v>
      </c>
      <c r="G445" s="711">
        <v>3256140</v>
      </c>
      <c r="H445" s="710">
        <v>15833.48658227226</v>
      </c>
      <c r="I445" s="710">
        <v>101091392.2250838</v>
      </c>
      <c r="J445" s="710"/>
      <c r="K445" s="662"/>
      <c r="L445" s="663"/>
      <c r="M445" s="663"/>
      <c r="N445" s="89"/>
      <c r="O445" s="84"/>
      <c r="P445" s="84"/>
      <c r="Q445" s="84"/>
      <c r="R445" s="84"/>
      <c r="S445" s="84"/>
      <c r="X445" s="121"/>
      <c r="Y445" s="121"/>
      <c r="Z445" s="121"/>
      <c r="AA445" s="75"/>
      <c r="AB445" s="75"/>
      <c r="AC445" s="76"/>
      <c r="AD445" s="69"/>
      <c r="AE445" s="69"/>
      <c r="AG445" s="67"/>
    </row>
    <row r="446" spans="1:33" s="73" customFormat="1" outlineLevel="1">
      <c r="A446" s="83"/>
      <c r="B446" s="84"/>
      <c r="C446" s="382" t="s">
        <v>70</v>
      </c>
      <c r="D446" s="357">
        <v>380</v>
      </c>
      <c r="E446" s="710">
        <v>1284317229.2462897</v>
      </c>
      <c r="F446" s="710">
        <f t="shared" si="34"/>
        <v>1426887329.5211263</v>
      </c>
      <c r="G446" s="711">
        <v>11855975</v>
      </c>
      <c r="H446" s="710">
        <v>100024.02519289132</v>
      </c>
      <c r="I446" s="710">
        <v>4290630470.8899999</v>
      </c>
      <c r="J446" s="710"/>
      <c r="K446" s="662"/>
      <c r="L446" s="663"/>
      <c r="M446" s="663"/>
      <c r="N446" s="89"/>
      <c r="O446" s="84"/>
      <c r="P446" s="84"/>
      <c r="Q446" s="84"/>
      <c r="R446" s="84"/>
      <c r="S446" s="84"/>
      <c r="X446" s="121"/>
      <c r="Y446" s="121"/>
      <c r="Z446" s="121"/>
      <c r="AA446" s="75"/>
      <c r="AB446" s="75"/>
      <c r="AC446" s="76"/>
      <c r="AD446" s="69"/>
      <c r="AE446" s="69"/>
      <c r="AG446" s="67"/>
    </row>
    <row r="447" spans="1:33" s="73" customFormat="1" ht="15" outlineLevel="1" thickBot="1">
      <c r="A447" s="83"/>
      <c r="B447" s="84"/>
      <c r="C447" s="221"/>
      <c r="D447" s="260"/>
      <c r="E447" s="397"/>
      <c r="F447" s="397"/>
      <c r="G447" s="398"/>
      <c r="H447" s="397"/>
      <c r="I447" s="397"/>
      <c r="J447" s="397"/>
      <c r="M447" s="84"/>
      <c r="N447" s="89"/>
      <c r="O447" s="84"/>
      <c r="P447" s="84"/>
      <c r="Q447" s="84"/>
      <c r="R447" s="84"/>
      <c r="S447" s="84"/>
      <c r="X447" s="121"/>
      <c r="Y447" s="121"/>
      <c r="Z447" s="121"/>
      <c r="AA447" s="75"/>
      <c r="AB447" s="75"/>
      <c r="AC447" s="76"/>
      <c r="AD447" s="69"/>
      <c r="AE447" s="69"/>
      <c r="AG447" s="67"/>
    </row>
    <row r="448" spans="1:33" s="73" customFormat="1" ht="15" outlineLevel="1" thickBot="1">
      <c r="A448" s="83"/>
      <c r="B448" s="84"/>
      <c r="C448" s="261" t="s">
        <v>202</v>
      </c>
      <c r="D448" s="262">
        <f>SUM(D427:D446)</f>
        <v>3257</v>
      </c>
      <c r="E448" s="273">
        <f>SUM(E427:E446)</f>
        <v>7267920148.9007664</v>
      </c>
      <c r="F448" s="273">
        <f>SUM(F427:F446)</f>
        <v>7267920148.9007664</v>
      </c>
      <c r="G448" s="284">
        <v>92335113</v>
      </c>
      <c r="H448" s="280">
        <f>E448/G448*1000</f>
        <v>78712.419498536445</v>
      </c>
      <c r="I448" s="280"/>
      <c r="J448" s="280"/>
      <c r="M448" s="84"/>
      <c r="N448" s="89"/>
      <c r="O448" s="84"/>
      <c r="P448" s="84"/>
      <c r="Q448" s="84"/>
      <c r="R448" s="84"/>
      <c r="S448" s="84"/>
      <c r="X448" s="121"/>
      <c r="Y448" s="121"/>
      <c r="Z448" s="121"/>
      <c r="AA448" s="75"/>
      <c r="AB448" s="75"/>
      <c r="AC448" s="76"/>
      <c r="AD448" s="69"/>
      <c r="AE448" s="69"/>
      <c r="AG448" s="67"/>
    </row>
    <row r="449" spans="1:34" s="73" customFormat="1" ht="15" outlineLevel="1" thickBot="1">
      <c r="A449" s="83"/>
      <c r="B449" s="84"/>
      <c r="C449" s="125"/>
      <c r="D449" s="125"/>
      <c r="E449" s="125"/>
      <c r="F449" s="125"/>
      <c r="G449" s="125"/>
      <c r="M449" s="84"/>
      <c r="N449" s="89"/>
      <c r="O449" s="84"/>
      <c r="P449" s="84"/>
      <c r="Q449" s="84"/>
      <c r="R449" s="84"/>
      <c r="S449" s="84"/>
      <c r="X449" s="121"/>
      <c r="Y449" s="121"/>
      <c r="Z449" s="121"/>
      <c r="AA449" s="75"/>
      <c r="AB449" s="75"/>
      <c r="AC449" s="76"/>
      <c r="AD449" s="69"/>
      <c r="AE449" s="69"/>
      <c r="AG449" s="67"/>
    </row>
    <row r="450" spans="1:34" s="73" customFormat="1" outlineLevel="1">
      <c r="A450" s="83"/>
      <c r="B450" s="84"/>
      <c r="C450" s="125"/>
      <c r="D450" s="864" t="s">
        <v>578</v>
      </c>
      <c r="E450" s="281">
        <f>E451/'Summary Tables &amp; Charts'!E448</f>
        <v>0.48794150191430619</v>
      </c>
      <c r="F450" s="125"/>
      <c r="G450" s="125"/>
      <c r="M450" s="125"/>
      <c r="N450" s="166"/>
      <c r="O450" s="89"/>
      <c r="P450" s="84"/>
      <c r="Q450" s="84"/>
      <c r="R450" s="84"/>
      <c r="S450" s="84"/>
      <c r="T450" s="84"/>
      <c r="Y450" s="121"/>
      <c r="Z450" s="121"/>
      <c r="AA450" s="121"/>
      <c r="AB450" s="75"/>
      <c r="AC450" s="75"/>
      <c r="AD450" s="76"/>
      <c r="AE450" s="69"/>
      <c r="AF450" s="69"/>
      <c r="AH450" s="67"/>
    </row>
    <row r="451" spans="1:34" s="73" customFormat="1" ht="32.4" customHeight="1" outlineLevel="1" thickBot="1">
      <c r="A451" s="83"/>
      <c r="B451" s="84"/>
      <c r="C451" s="125"/>
      <c r="D451" s="865"/>
      <c r="E451" s="664">
        <f>SUM('Summary Tables &amp; Charts'!E427:E429)</f>
        <v>3546319873.2478876</v>
      </c>
      <c r="F451" s="125"/>
      <c r="G451" s="84"/>
      <c r="M451" s="125"/>
      <c r="N451" s="166"/>
      <c r="O451" s="84"/>
      <c r="P451" s="84"/>
      <c r="Q451" s="84"/>
      <c r="R451" s="84"/>
      <c r="S451" s="84"/>
      <c r="T451" s="84"/>
      <c r="Y451" s="121"/>
      <c r="Z451" s="121"/>
      <c r="AA451" s="121"/>
      <c r="AB451" s="75"/>
      <c r="AC451" s="75"/>
      <c r="AD451" s="76"/>
      <c r="AE451" s="69"/>
      <c r="AF451" s="69"/>
      <c r="AH451" s="67"/>
    </row>
    <row r="452" spans="1:34" s="73" customFormat="1" outlineLevel="1">
      <c r="A452" s="83"/>
      <c r="B452" s="84"/>
      <c r="C452" s="125"/>
      <c r="D452" s="125" t="s">
        <v>581</v>
      </c>
      <c r="E452" s="125" t="e">
        <f>E448-K135</f>
        <v>#REF!</v>
      </c>
      <c r="F452" s="125"/>
      <c r="G452" s="84"/>
      <c r="M452" s="125"/>
      <c r="N452" s="166"/>
      <c r="O452" s="84"/>
      <c r="P452" s="84"/>
      <c r="Q452" s="84"/>
      <c r="R452" s="84"/>
      <c r="S452" s="84"/>
      <c r="T452" s="84"/>
      <c r="Y452" s="121"/>
      <c r="Z452" s="121"/>
      <c r="AA452" s="121"/>
      <c r="AB452" s="75"/>
      <c r="AC452" s="75"/>
      <c r="AD452" s="76"/>
      <c r="AE452" s="69"/>
      <c r="AF452" s="69"/>
      <c r="AH452" s="67"/>
    </row>
    <row r="453" spans="1:34" s="73" customFormat="1" outlineLevel="1">
      <c r="A453" s="83"/>
      <c r="B453" s="84"/>
      <c r="C453" s="125"/>
      <c r="F453" s="125"/>
      <c r="G453" s="84"/>
      <c r="M453" s="125"/>
      <c r="N453" s="166"/>
      <c r="O453" s="84"/>
      <c r="P453" s="84"/>
      <c r="Q453" s="84"/>
      <c r="R453" s="84"/>
      <c r="S453" s="84"/>
      <c r="T453" s="84"/>
      <c r="Y453" s="121"/>
      <c r="Z453" s="121"/>
      <c r="AA453" s="121"/>
      <c r="AB453" s="75"/>
      <c r="AC453" s="75"/>
      <c r="AD453" s="76"/>
      <c r="AE453" s="69"/>
      <c r="AF453" s="69"/>
      <c r="AH453" s="67"/>
    </row>
    <row r="454" spans="1:34" s="73" customFormat="1" outlineLevel="1">
      <c r="A454" s="83"/>
      <c r="B454" s="84"/>
      <c r="C454" s="152"/>
      <c r="D454" s="153"/>
      <c r="E454" s="153"/>
      <c r="F454" s="153"/>
      <c r="G454" s="153"/>
      <c r="M454" s="125"/>
      <c r="N454" s="166"/>
      <c r="O454" s="84"/>
      <c r="P454" s="84"/>
      <c r="Q454" s="84"/>
      <c r="R454" s="84"/>
      <c r="S454" s="84"/>
      <c r="T454" s="84"/>
      <c r="Y454" s="121"/>
      <c r="Z454" s="121"/>
      <c r="AA454" s="121"/>
      <c r="AB454" s="75"/>
      <c r="AC454" s="75"/>
      <c r="AD454" s="76"/>
      <c r="AE454" s="69"/>
      <c r="AF454" s="69"/>
      <c r="AH454" s="67"/>
    </row>
    <row r="455" spans="1:34" s="73" customFormat="1" hidden="1" outlineLevel="1">
      <c r="A455" s="83"/>
      <c r="B455" s="84"/>
      <c r="C455" s="152"/>
      <c r="D455" s="153"/>
      <c r="E455" s="153"/>
      <c r="F455" s="153"/>
      <c r="G455" s="153"/>
      <c r="M455" s="125"/>
      <c r="N455" s="166"/>
      <c r="O455" s="84"/>
      <c r="P455" s="84"/>
      <c r="Q455" s="84"/>
      <c r="R455" s="84"/>
      <c r="S455" s="84"/>
      <c r="T455" s="84"/>
      <c r="Y455" s="121"/>
      <c r="Z455" s="121"/>
      <c r="AA455" s="121"/>
      <c r="AB455" s="75"/>
      <c r="AC455" s="75"/>
      <c r="AD455" s="76"/>
      <c r="AE455" s="69"/>
      <c r="AF455" s="69"/>
      <c r="AH455" s="67"/>
    </row>
    <row r="456" spans="1:34" s="73" customFormat="1" hidden="1" outlineLevel="1">
      <c r="A456" s="83"/>
      <c r="B456" s="84"/>
      <c r="C456" s="152"/>
      <c r="D456" s="153"/>
      <c r="E456" s="153"/>
      <c r="F456" s="153"/>
      <c r="G456" s="153"/>
      <c r="M456" s="125"/>
      <c r="N456" s="166"/>
      <c r="O456" s="84"/>
      <c r="P456" s="84"/>
      <c r="Q456" s="84"/>
      <c r="R456" s="84"/>
      <c r="S456" s="84"/>
      <c r="T456" s="84"/>
      <c r="Y456" s="121"/>
      <c r="Z456" s="121"/>
      <c r="AA456" s="121"/>
      <c r="AB456" s="75"/>
      <c r="AC456" s="75"/>
      <c r="AD456" s="76"/>
      <c r="AE456" s="69"/>
      <c r="AF456" s="69"/>
      <c r="AH456" s="67"/>
    </row>
    <row r="457" spans="1:34" s="73" customFormat="1" ht="21" hidden="1" customHeight="1" outlineLevel="1">
      <c r="A457" s="704" t="s">
        <v>853</v>
      </c>
      <c r="B457" s="665"/>
      <c r="C457" s="666"/>
      <c r="D457" s="667"/>
      <c r="E457" s="667"/>
      <c r="F457" s="667"/>
      <c r="G457" s="667"/>
      <c r="H457" s="668"/>
      <c r="I457" s="668"/>
      <c r="J457" s="668"/>
      <c r="K457" s="668"/>
      <c r="L457" s="668"/>
      <c r="M457" s="125"/>
      <c r="N457" s="166"/>
      <c r="O457" s="84"/>
      <c r="P457" s="84"/>
      <c r="Q457" s="84"/>
      <c r="R457" s="84"/>
      <c r="S457" s="84"/>
      <c r="T457" s="84"/>
      <c r="Y457" s="121"/>
      <c r="Z457" s="121"/>
      <c r="AA457" s="121"/>
      <c r="AB457" s="75"/>
      <c r="AC457" s="75"/>
      <c r="AD457" s="76"/>
      <c r="AE457" s="69"/>
      <c r="AF457" s="69"/>
      <c r="AH457" s="67"/>
    </row>
    <row r="458" spans="1:34" s="73" customFormat="1" ht="27" hidden="1" customHeight="1" outlineLevel="1">
      <c r="A458" s="669"/>
      <c r="B458" s="670"/>
      <c r="C458" s="673" t="s">
        <v>239</v>
      </c>
      <c r="D458" s="673">
        <v>2013</v>
      </c>
      <c r="E458" s="673">
        <v>2014</v>
      </c>
      <c r="F458" s="673">
        <v>2015</v>
      </c>
      <c r="G458" s="673">
        <v>2016</v>
      </c>
      <c r="H458" s="673" t="s">
        <v>290</v>
      </c>
      <c r="I458" s="673" t="s">
        <v>301</v>
      </c>
      <c r="J458" s="673" t="s">
        <v>442</v>
      </c>
      <c r="K458" s="674" t="s">
        <v>441</v>
      </c>
      <c r="L458" s="670"/>
      <c r="M458" s="84"/>
      <c r="N458" s="89"/>
      <c r="O458" s="84"/>
      <c r="P458" s="84"/>
      <c r="Q458" s="84"/>
      <c r="R458" s="84"/>
      <c r="S458" s="84"/>
      <c r="X458" s="121"/>
      <c r="Y458" s="121"/>
      <c r="Z458" s="121"/>
      <c r="AA458" s="75"/>
      <c r="AB458" s="75"/>
      <c r="AC458" s="76"/>
      <c r="AD458" s="69"/>
      <c r="AE458" s="69"/>
      <c r="AG458" s="67"/>
    </row>
    <row r="459" spans="1:34" s="73" customFormat="1" hidden="1" outlineLevel="1">
      <c r="A459" s="675">
        <v>1</v>
      </c>
      <c r="B459" s="670"/>
      <c r="C459" s="676" t="s">
        <v>439</v>
      </c>
      <c r="D459" s="677">
        <f>'CIIP 2016 Revised Format'!CW24</f>
        <v>0</v>
      </c>
      <c r="E459" s="677">
        <f>'CIIP 2016 Revised Format'!CX24</f>
        <v>0</v>
      </c>
      <c r="F459" s="677">
        <f>'CIIP 2016 Revised Format'!CY24</f>
        <v>0</v>
      </c>
      <c r="G459" s="677">
        <f>'CIIP 2016 Revised Format'!CZ24</f>
        <v>0</v>
      </c>
      <c r="H459" s="677">
        <f>'CIIP 2016 Revised Format'!DA24</f>
        <v>0</v>
      </c>
      <c r="I459" s="677">
        <f>'CIIP 2016 Revised Format'!DB24</f>
        <v>0</v>
      </c>
      <c r="J459" s="677">
        <f>'CIIP 2016 Revised Format'!DC24</f>
        <v>10</v>
      </c>
      <c r="K459" s="678">
        <f>SUM(D459:J459)</f>
        <v>10</v>
      </c>
      <c r="L459" s="670"/>
      <c r="M459" s="84"/>
      <c r="N459" s="89"/>
      <c r="O459" s="84"/>
      <c r="P459" s="84"/>
      <c r="Q459" s="84"/>
      <c r="R459" s="84"/>
      <c r="S459" s="84"/>
      <c r="X459" s="121"/>
      <c r="Y459" s="121"/>
      <c r="Z459" s="121"/>
      <c r="AA459" s="75"/>
      <c r="AB459" s="75"/>
      <c r="AC459" s="76"/>
      <c r="AD459" s="69"/>
      <c r="AE459" s="69"/>
      <c r="AG459" s="67"/>
    </row>
    <row r="460" spans="1:34" s="73" customFormat="1" hidden="1" outlineLevel="1">
      <c r="A460" s="675">
        <v>2</v>
      </c>
      <c r="B460" s="670"/>
      <c r="C460" s="676" t="s">
        <v>440</v>
      </c>
      <c r="D460" s="677">
        <f>'CIIP 2016 Revised Format'!DE24</f>
        <v>0</v>
      </c>
      <c r="E460" s="677">
        <f>'CIIP 2016 Revised Format'!DF24</f>
        <v>0</v>
      </c>
      <c r="F460" s="677">
        <f>'CIIP 2016 Revised Format'!DG24</f>
        <v>0</v>
      </c>
      <c r="G460" s="677">
        <f>'CIIP 2016 Revised Format'!DH24</f>
        <v>0</v>
      </c>
      <c r="H460" s="677">
        <f>'CIIP 2016 Revised Format'!DI24</f>
        <v>0</v>
      </c>
      <c r="I460" s="677">
        <f>'CIIP 2016 Revised Format'!DJ24</f>
        <v>0</v>
      </c>
      <c r="J460" s="677">
        <f>'CIIP 2016 Revised Format'!DK24</f>
        <v>10</v>
      </c>
      <c r="K460" s="678">
        <f>SUM(D460:J460)</f>
        <v>10</v>
      </c>
      <c r="L460" s="670"/>
      <c r="M460" s="84"/>
      <c r="N460" s="89"/>
      <c r="O460" s="84"/>
      <c r="P460" s="84"/>
      <c r="Q460" s="84"/>
      <c r="R460" s="84"/>
      <c r="S460" s="84"/>
      <c r="X460" s="121"/>
      <c r="Y460" s="121"/>
      <c r="Z460" s="121"/>
      <c r="AA460" s="75"/>
      <c r="AB460" s="75"/>
      <c r="AC460" s="76"/>
      <c r="AD460" s="69"/>
      <c r="AE460" s="69"/>
      <c r="AG460" s="67"/>
    </row>
    <row r="461" spans="1:34" s="73" customFormat="1" hidden="1" outlineLevel="1">
      <c r="A461" s="669"/>
      <c r="B461" s="670"/>
      <c r="C461" s="679" t="s">
        <v>443</v>
      </c>
      <c r="D461" s="680" t="e">
        <f>D460/D459</f>
        <v>#DIV/0!</v>
      </c>
      <c r="E461" s="680" t="e">
        <f>E460/(SUM(D459:E459)-D460)</f>
        <v>#DIV/0!</v>
      </c>
      <c r="F461" s="680" t="e">
        <f>F460/(SUM(D459:F459)-SUM(D460:E460))</f>
        <v>#DIV/0!</v>
      </c>
      <c r="G461" s="680" t="e">
        <f>G460/(SUM(D459:G459)-SUM(D460:F460))</f>
        <v>#DIV/0!</v>
      </c>
      <c r="H461" s="680" t="e">
        <f>H460/(SUM(D459:H459)-SUM(D460:G460))</f>
        <v>#DIV/0!</v>
      </c>
      <c r="I461" s="680" t="e">
        <f>I460/I459</f>
        <v>#DIV/0!</v>
      </c>
      <c r="J461" s="680">
        <f>J460/J459</f>
        <v>1</v>
      </c>
      <c r="K461" s="680">
        <f>K460/K459</f>
        <v>1</v>
      </c>
      <c r="L461" s="670"/>
      <c r="M461" s="84"/>
      <c r="N461" s="89"/>
      <c r="O461" s="84"/>
      <c r="P461" s="84"/>
      <c r="Q461" s="84"/>
      <c r="R461" s="84"/>
      <c r="S461" s="84"/>
      <c r="X461" s="121"/>
      <c r="Y461" s="121"/>
      <c r="Z461" s="121"/>
      <c r="AA461" s="75"/>
      <c r="AB461" s="75"/>
      <c r="AC461" s="76"/>
      <c r="AD461" s="69"/>
      <c r="AE461" s="69"/>
      <c r="AG461" s="67"/>
    </row>
    <row r="462" spans="1:34" s="73" customFormat="1" hidden="1" outlineLevel="1">
      <c r="A462" s="669"/>
      <c r="B462" s="670"/>
      <c r="C462" s="670"/>
      <c r="D462" s="681"/>
      <c r="E462" s="681"/>
      <c r="F462" s="681"/>
      <c r="G462" s="681"/>
      <c r="H462" s="681"/>
      <c r="I462" s="681"/>
      <c r="J462" s="681"/>
      <c r="K462" s="681"/>
      <c r="L462" s="670"/>
      <c r="M462" s="84"/>
      <c r="N462" s="89"/>
      <c r="O462" s="84"/>
      <c r="P462" s="84"/>
      <c r="Q462" s="84"/>
      <c r="R462" s="84"/>
      <c r="S462" s="84"/>
      <c r="X462" s="121"/>
      <c r="Y462" s="121"/>
      <c r="Z462" s="121"/>
      <c r="AA462" s="75"/>
      <c r="AB462" s="75"/>
      <c r="AC462" s="76"/>
      <c r="AD462" s="69"/>
      <c r="AE462" s="69"/>
      <c r="AG462" s="67"/>
    </row>
    <row r="463" spans="1:34" s="73" customFormat="1" hidden="1" outlineLevel="1">
      <c r="A463" s="669"/>
      <c r="B463" s="670"/>
      <c r="C463" s="670"/>
      <c r="D463" s="681"/>
      <c r="E463" s="681"/>
      <c r="F463" s="681"/>
      <c r="G463" s="681"/>
      <c r="H463" s="681"/>
      <c r="I463" s="681"/>
      <c r="J463" s="681"/>
      <c r="K463" s="681"/>
      <c r="L463" s="670"/>
      <c r="M463" s="84"/>
      <c r="N463" s="89"/>
      <c r="O463" s="84"/>
      <c r="P463" s="84"/>
      <c r="Q463" s="84"/>
      <c r="R463" s="84"/>
      <c r="S463" s="84"/>
      <c r="X463" s="121"/>
      <c r="Y463" s="121"/>
      <c r="Z463" s="121"/>
      <c r="AA463" s="75"/>
      <c r="AB463" s="75"/>
      <c r="AC463" s="76"/>
      <c r="AD463" s="69"/>
      <c r="AE463" s="69"/>
      <c r="AG463" s="67"/>
    </row>
    <row r="464" spans="1:34" s="73" customFormat="1" hidden="1" outlineLevel="1">
      <c r="A464" s="669"/>
      <c r="B464" s="670"/>
      <c r="C464" s="682" t="s">
        <v>484</v>
      </c>
      <c r="D464" s="683"/>
      <c r="E464" s="683"/>
      <c r="F464" s="681"/>
      <c r="G464" s="682" t="s">
        <v>549</v>
      </c>
      <c r="H464" s="671"/>
      <c r="I464" s="671"/>
      <c r="J464" s="671"/>
      <c r="K464" s="681"/>
      <c r="L464" s="670"/>
      <c r="M464" s="84"/>
      <c r="N464" s="89"/>
      <c r="O464" s="84"/>
      <c r="P464" s="84"/>
      <c r="Q464" s="84"/>
      <c r="R464" s="84"/>
      <c r="S464" s="84"/>
      <c r="X464" s="121"/>
      <c r="Y464" s="121"/>
      <c r="Z464" s="121"/>
      <c r="AA464" s="75"/>
      <c r="AB464" s="75"/>
      <c r="AC464" s="76"/>
      <c r="AD464" s="69"/>
      <c r="AE464" s="69"/>
      <c r="AG464" s="67"/>
    </row>
    <row r="465" spans="1:33" s="73" customFormat="1" ht="28.8" hidden="1" outlineLevel="1">
      <c r="A465" s="669"/>
      <c r="B465" s="670"/>
      <c r="C465" s="684" t="s">
        <v>485</v>
      </c>
      <c r="D465" s="685" t="s">
        <v>480</v>
      </c>
      <c r="E465" s="684" t="s">
        <v>486</v>
      </c>
      <c r="F465" s="681"/>
      <c r="G465" s="684" t="s">
        <v>509</v>
      </c>
      <c r="H465" s="684" t="s">
        <v>506</v>
      </c>
      <c r="I465" s="684" t="s">
        <v>507</v>
      </c>
      <c r="J465" s="684" t="s">
        <v>508</v>
      </c>
      <c r="K465" s="681"/>
      <c r="L465" s="670"/>
      <c r="M465" s="84"/>
      <c r="N465" s="89"/>
      <c r="O465" s="84"/>
      <c r="P465" s="84"/>
      <c r="Q465" s="84"/>
      <c r="R465" s="84"/>
      <c r="S465" s="84"/>
      <c r="X465" s="121"/>
      <c r="Y465" s="121"/>
      <c r="Z465" s="121"/>
      <c r="AA465" s="75"/>
      <c r="AB465" s="75"/>
      <c r="AC465" s="76"/>
      <c r="AD465" s="69"/>
      <c r="AE465" s="69"/>
      <c r="AG465" s="67"/>
    </row>
    <row r="466" spans="1:33" s="73" customFormat="1" hidden="1" outlineLevel="1">
      <c r="A466" s="669"/>
      <c r="B466" s="670"/>
      <c r="C466" s="686">
        <v>2014</v>
      </c>
      <c r="D466" s="687">
        <f>E476</f>
        <v>0</v>
      </c>
      <c r="E466" s="688">
        <f>'CIIP 2016 Revised Format'!DF25</f>
        <v>116075365.15633333</v>
      </c>
      <c r="F466" s="681"/>
      <c r="G466" s="689">
        <v>2014</v>
      </c>
      <c r="H466" s="690" t="e">
        <f>'CIIP 2016 Revised Format'!#REF!</f>
        <v>#REF!</v>
      </c>
      <c r="I466" s="690">
        <f>'CIIP 2016 Revised Format'!HZ$25</f>
        <v>0</v>
      </c>
      <c r="J466" s="690">
        <f>'CIIP 2016 Revised Format'!$ID28</f>
        <v>0</v>
      </c>
      <c r="K466" s="681"/>
      <c r="L466" s="670"/>
      <c r="M466" s="84"/>
      <c r="N466" s="89"/>
      <c r="O466" s="84"/>
      <c r="P466" s="84"/>
      <c r="Q466" s="84"/>
      <c r="R466" s="84"/>
      <c r="S466" s="84"/>
      <c r="X466" s="121"/>
      <c r="Y466" s="121"/>
      <c r="Z466" s="121"/>
      <c r="AA466" s="75"/>
      <c r="AB466" s="75"/>
      <c r="AC466" s="76"/>
      <c r="AD466" s="69"/>
      <c r="AE466" s="69"/>
      <c r="AG466" s="67"/>
    </row>
    <row r="467" spans="1:33" s="73" customFormat="1" hidden="1" outlineLevel="1">
      <c r="A467" s="669"/>
      <c r="B467" s="670"/>
      <c r="C467" s="686">
        <v>2015</v>
      </c>
      <c r="D467" s="687">
        <f>F476</f>
        <v>0</v>
      </c>
      <c r="E467" s="688">
        <f>'CIIP 2016 Revised Format'!DG25</f>
        <v>250089175.20657665</v>
      </c>
      <c r="F467" s="681"/>
      <c r="G467" s="689">
        <v>2015</v>
      </c>
      <c r="H467" s="690">
        <f>'CIIP 2016 Revised Format'!HW$25</f>
        <v>0</v>
      </c>
      <c r="I467" s="690">
        <f>'CIIP 2016 Revised Format'!IA$25</f>
        <v>0</v>
      </c>
      <c r="J467" s="690">
        <f>'CIIP 2016 Revised Format'!$ID29</f>
        <v>0</v>
      </c>
      <c r="K467" s="681"/>
      <c r="L467" s="670"/>
      <c r="M467" s="84"/>
      <c r="N467" s="89"/>
      <c r="O467" s="84"/>
      <c r="P467" s="84"/>
      <c r="Q467" s="84"/>
      <c r="R467" s="84"/>
      <c r="S467" s="84"/>
      <c r="X467" s="121"/>
      <c r="Y467" s="121"/>
      <c r="Z467" s="121"/>
      <c r="AA467" s="75"/>
      <c r="AB467" s="75"/>
      <c r="AC467" s="76"/>
      <c r="AD467" s="69"/>
      <c r="AE467" s="69"/>
      <c r="AG467" s="67"/>
    </row>
    <row r="468" spans="1:33" s="73" customFormat="1" hidden="1" outlineLevel="1">
      <c r="A468" s="669"/>
      <c r="B468" s="670"/>
      <c r="C468" s="686">
        <v>2016</v>
      </c>
      <c r="D468" s="687">
        <f>G476</f>
        <v>0</v>
      </c>
      <c r="E468" s="688">
        <f>'CIIP 2016 Revised Format'!DH25</f>
        <v>582748986.31479597</v>
      </c>
      <c r="F468" s="681"/>
      <c r="G468" s="689">
        <v>2016</v>
      </c>
      <c r="H468" s="690">
        <f>'CIIP 2016 Revised Format'!HX$25</f>
        <v>0</v>
      </c>
      <c r="I468" s="690">
        <f>'CIIP 2016 Revised Format'!IB$25</f>
        <v>0</v>
      </c>
      <c r="J468" s="690">
        <f>'CIIP 2016 Revised Format'!$ID30</f>
        <v>0</v>
      </c>
      <c r="K468" s="681"/>
      <c r="L468" s="670"/>
      <c r="M468" s="84"/>
      <c r="N468" s="89"/>
      <c r="O468" s="84"/>
      <c r="P468" s="84"/>
      <c r="Q468" s="84"/>
      <c r="R468" s="84"/>
      <c r="S468" s="84"/>
      <c r="X468" s="121"/>
      <c r="Y468" s="121"/>
      <c r="Z468" s="121"/>
      <c r="AA468" s="75"/>
      <c r="AB468" s="75"/>
      <c r="AC468" s="76"/>
      <c r="AD468" s="69"/>
      <c r="AE468" s="69"/>
      <c r="AG468" s="67"/>
    </row>
    <row r="469" spans="1:33" s="73" customFormat="1" hidden="1" outlineLevel="1">
      <c r="A469" s="669"/>
      <c r="B469" s="670"/>
      <c r="C469" s="686" t="s">
        <v>450</v>
      </c>
      <c r="D469" s="686">
        <f>SUM(D466:D468)</f>
        <v>0</v>
      </c>
      <c r="E469" s="691">
        <f>SUM(E466:E468)</f>
        <v>948913526.677706</v>
      </c>
      <c r="F469" s="681"/>
      <c r="G469" s="689" t="s">
        <v>450</v>
      </c>
      <c r="H469" s="689">
        <f>'CIIP 2016 Revised Format'!HY$25</f>
        <v>0</v>
      </c>
      <c r="I469" s="689">
        <f>'CIIP 2016 Revised Format'!IC$25</f>
        <v>0</v>
      </c>
      <c r="J469" s="689" t="e">
        <f>'CIIP 2016 Revised Format'!#REF!</f>
        <v>#REF!</v>
      </c>
      <c r="K469" s="681"/>
      <c r="L469" s="670"/>
      <c r="M469" s="84"/>
      <c r="N469" s="89"/>
      <c r="O469" s="84"/>
      <c r="P469" s="84"/>
      <c r="Q469" s="84"/>
      <c r="R469" s="84"/>
      <c r="S469" s="84"/>
      <c r="X469" s="121"/>
      <c r="Y469" s="121"/>
      <c r="Z469" s="121"/>
      <c r="AA469" s="75"/>
      <c r="AB469" s="75"/>
      <c r="AC469" s="76"/>
      <c r="AD469" s="69"/>
      <c r="AE469" s="69"/>
      <c r="AG469" s="67"/>
    </row>
    <row r="470" spans="1:33" s="73" customFormat="1" hidden="1" outlineLevel="1">
      <c r="A470" s="669"/>
      <c r="B470" s="670"/>
      <c r="C470" s="672"/>
      <c r="D470" s="672"/>
      <c r="E470" s="672"/>
      <c r="F470" s="672"/>
      <c r="G470" s="672"/>
      <c r="H470" s="672"/>
      <c r="I470" s="672"/>
      <c r="J470" s="672"/>
      <c r="K470" s="681"/>
      <c r="L470" s="670"/>
      <c r="M470" s="84"/>
      <c r="N470" s="89"/>
      <c r="O470" s="84"/>
      <c r="P470" s="84"/>
      <c r="Q470" s="84"/>
      <c r="R470" s="84"/>
      <c r="S470" s="84"/>
      <c r="X470" s="121"/>
      <c r="Y470" s="121"/>
      <c r="Z470" s="121"/>
      <c r="AA470" s="75"/>
      <c r="AB470" s="75"/>
      <c r="AC470" s="76"/>
      <c r="AD470" s="69"/>
      <c r="AE470" s="69"/>
      <c r="AG470" s="67"/>
    </row>
    <row r="471" spans="1:33" s="73" customFormat="1" hidden="1" outlineLevel="1">
      <c r="A471" s="669"/>
      <c r="B471" s="670"/>
      <c r="C471" s="670"/>
      <c r="D471" s="681"/>
      <c r="E471" s="681"/>
      <c r="F471" s="681"/>
      <c r="G471" s="672"/>
      <c r="H471" s="672"/>
      <c r="I471" s="672"/>
      <c r="J471" s="672"/>
      <c r="K471" s="681"/>
      <c r="L471" s="670"/>
      <c r="M471" s="84"/>
      <c r="N471" s="89"/>
      <c r="O471" s="84"/>
      <c r="P471" s="84"/>
      <c r="Q471" s="84"/>
      <c r="R471" s="84"/>
      <c r="S471" s="84"/>
      <c r="X471" s="121"/>
      <c r="Y471" s="121"/>
      <c r="Z471" s="121"/>
      <c r="AA471" s="75"/>
      <c r="AB471" s="75"/>
      <c r="AC471" s="76"/>
      <c r="AD471" s="69"/>
      <c r="AE471" s="69"/>
      <c r="AG471" s="67"/>
    </row>
    <row r="472" spans="1:33" s="73" customFormat="1" hidden="1" outlineLevel="1">
      <c r="A472" s="669"/>
      <c r="B472" s="670"/>
      <c r="C472" s="682" t="s">
        <v>474</v>
      </c>
      <c r="D472" s="692"/>
      <c r="E472" s="693"/>
      <c r="F472" s="693"/>
      <c r="G472" s="693"/>
      <c r="H472" s="681"/>
      <c r="I472" s="681"/>
      <c r="J472" s="681"/>
      <c r="K472" s="681"/>
      <c r="L472" s="670"/>
      <c r="M472" s="84"/>
      <c r="N472" s="89"/>
      <c r="O472" s="84"/>
      <c r="P472" s="84"/>
      <c r="Q472" s="84"/>
      <c r="R472" s="84"/>
      <c r="S472" s="84"/>
      <c r="X472" s="121"/>
      <c r="Y472" s="121"/>
      <c r="Z472" s="121"/>
      <c r="AA472" s="75"/>
      <c r="AB472" s="75"/>
      <c r="AC472" s="76"/>
      <c r="AD472" s="69"/>
      <c r="AE472" s="69"/>
      <c r="AG472" s="67"/>
    </row>
    <row r="473" spans="1:33" s="73" customFormat="1" hidden="1" outlineLevel="1">
      <c r="A473" s="669"/>
      <c r="B473" s="670"/>
      <c r="C473" s="694" t="s">
        <v>460</v>
      </c>
      <c r="D473" s="859" t="s">
        <v>461</v>
      </c>
      <c r="E473" s="860"/>
      <c r="F473" s="860"/>
      <c r="G473" s="861"/>
      <c r="H473" s="681"/>
      <c r="I473" s="681"/>
      <c r="J473" s="681"/>
      <c r="K473" s="681"/>
      <c r="L473" s="670"/>
      <c r="M473" s="84"/>
      <c r="N473" s="89"/>
      <c r="O473" s="84"/>
      <c r="P473" s="84"/>
      <c r="Q473" s="84"/>
      <c r="R473" s="84"/>
      <c r="S473" s="84"/>
      <c r="X473" s="121"/>
      <c r="Y473" s="121"/>
      <c r="Z473" s="121"/>
      <c r="AA473" s="75"/>
      <c r="AB473" s="75"/>
      <c r="AC473" s="76"/>
      <c r="AD473" s="69"/>
      <c r="AE473" s="69"/>
      <c r="AG473" s="67"/>
    </row>
    <row r="474" spans="1:33" s="73" customFormat="1" hidden="1" outlineLevel="1">
      <c r="A474" s="669"/>
      <c r="B474" s="670"/>
      <c r="C474" s="694"/>
      <c r="D474" s="694">
        <v>2013</v>
      </c>
      <c r="E474" s="694">
        <v>2014</v>
      </c>
      <c r="F474" s="694">
        <v>2015</v>
      </c>
      <c r="G474" s="695">
        <v>2016</v>
      </c>
      <c r="H474" s="681"/>
      <c r="I474" s="681"/>
      <c r="J474" s="681"/>
      <c r="K474" s="681"/>
      <c r="L474" s="670"/>
      <c r="M474" s="84"/>
      <c r="N474" s="89"/>
      <c r="O474" s="84"/>
      <c r="P474" s="84"/>
      <c r="Q474" s="84"/>
      <c r="R474" s="84"/>
      <c r="S474" s="84"/>
      <c r="X474" s="121"/>
      <c r="Y474" s="121"/>
      <c r="Z474" s="121"/>
      <c r="AA474" s="75"/>
      <c r="AB474" s="75"/>
      <c r="AC474" s="76"/>
      <c r="AD474" s="69"/>
      <c r="AE474" s="69"/>
      <c r="AG474" s="67"/>
    </row>
    <row r="475" spans="1:33" s="73" customFormat="1" hidden="1" outlineLevel="1">
      <c r="A475" s="669"/>
      <c r="B475" s="670"/>
      <c r="C475" s="696" t="s">
        <v>458</v>
      </c>
      <c r="D475" s="697">
        <f t="shared" ref="D475:G476" si="35">D459</f>
        <v>0</v>
      </c>
      <c r="E475" s="697">
        <f t="shared" si="35"/>
        <v>0</v>
      </c>
      <c r="F475" s="697">
        <f t="shared" si="35"/>
        <v>0</v>
      </c>
      <c r="G475" s="697">
        <f t="shared" si="35"/>
        <v>0</v>
      </c>
      <c r="H475" s="681"/>
      <c r="I475" s="681"/>
      <c r="J475" s="681"/>
      <c r="K475" s="681"/>
      <c r="L475" s="670"/>
      <c r="M475" s="84"/>
      <c r="N475" s="89"/>
      <c r="O475" s="84"/>
      <c r="P475" s="84"/>
      <c r="Q475" s="84"/>
      <c r="R475" s="84"/>
      <c r="S475" s="84"/>
      <c r="X475" s="121"/>
      <c r="Y475" s="121"/>
      <c r="Z475" s="121"/>
      <c r="AA475" s="75"/>
      <c r="AB475" s="75"/>
      <c r="AC475" s="76"/>
      <c r="AD475" s="69"/>
      <c r="AE475" s="69"/>
      <c r="AG475" s="67"/>
    </row>
    <row r="476" spans="1:33" s="73" customFormat="1" hidden="1" outlineLevel="1">
      <c r="A476" s="669"/>
      <c r="B476" s="670"/>
      <c r="C476" s="696" t="s">
        <v>459</v>
      </c>
      <c r="D476" s="697">
        <f t="shared" si="35"/>
        <v>0</v>
      </c>
      <c r="E476" s="697">
        <f t="shared" si="35"/>
        <v>0</v>
      </c>
      <c r="F476" s="697">
        <f t="shared" si="35"/>
        <v>0</v>
      </c>
      <c r="G476" s="697">
        <f t="shared" si="35"/>
        <v>0</v>
      </c>
      <c r="H476" s="681"/>
      <c r="I476" s="681"/>
      <c r="J476" s="681"/>
      <c r="K476" s="681"/>
      <c r="L476" s="670"/>
      <c r="M476" s="84"/>
      <c r="N476" s="89"/>
      <c r="O476" s="84"/>
      <c r="P476" s="84"/>
      <c r="Q476" s="84"/>
      <c r="R476" s="84"/>
      <c r="S476" s="84"/>
      <c r="X476" s="121"/>
      <c r="Y476" s="121"/>
      <c r="Z476" s="121"/>
      <c r="AA476" s="75"/>
      <c r="AB476" s="75"/>
      <c r="AC476" s="76"/>
      <c r="AD476" s="69"/>
      <c r="AE476" s="69"/>
      <c r="AG476" s="67"/>
    </row>
    <row r="477" spans="1:33" s="73" customFormat="1" hidden="1" outlineLevel="1">
      <c r="A477" s="669"/>
      <c r="B477" s="670"/>
      <c r="C477" s="698" t="s">
        <v>471</v>
      </c>
      <c r="D477" s="858">
        <f>D475-D476</f>
        <v>0</v>
      </c>
      <c r="E477" s="858">
        <f>D477+E475-E476</f>
        <v>0</v>
      </c>
      <c r="F477" s="858">
        <f>E477+F475-F476</f>
        <v>0</v>
      </c>
      <c r="G477" s="858">
        <f>F477+G475-G476</f>
        <v>0</v>
      </c>
      <c r="H477" s="681"/>
      <c r="I477" s="681"/>
      <c r="J477" s="681"/>
      <c r="K477" s="681"/>
      <c r="L477" s="670"/>
      <c r="M477" s="84"/>
      <c r="N477" s="89"/>
      <c r="O477" s="84"/>
      <c r="P477" s="84"/>
      <c r="Q477" s="84"/>
      <c r="R477" s="84"/>
      <c r="S477" s="84"/>
      <c r="X477" s="121"/>
      <c r="Y477" s="121"/>
      <c r="Z477" s="121"/>
      <c r="AA477" s="75"/>
      <c r="AB477" s="75"/>
      <c r="AC477" s="76"/>
      <c r="AD477" s="69"/>
      <c r="AE477" s="69"/>
      <c r="AG477" s="67"/>
    </row>
    <row r="478" spans="1:33" s="73" customFormat="1" ht="43.2" hidden="1" outlineLevel="1">
      <c r="A478" s="669"/>
      <c r="B478" s="670"/>
      <c r="C478" s="699" t="s">
        <v>472</v>
      </c>
      <c r="D478" s="858"/>
      <c r="E478" s="858"/>
      <c r="F478" s="858"/>
      <c r="G478" s="858"/>
      <c r="H478" s="681"/>
      <c r="I478" s="681"/>
      <c r="J478" s="681"/>
      <c r="K478" s="681"/>
      <c r="L478" s="670"/>
      <c r="M478" s="84"/>
      <c r="N478" s="89"/>
      <c r="O478" s="84"/>
      <c r="P478" s="84"/>
      <c r="Q478" s="84"/>
      <c r="R478" s="84"/>
      <c r="S478" s="84"/>
      <c r="X478" s="121"/>
      <c r="Y478" s="121"/>
      <c r="Z478" s="121"/>
      <c r="AA478" s="75"/>
      <c r="AB478" s="75"/>
      <c r="AC478" s="76"/>
      <c r="AD478" s="69"/>
      <c r="AE478" s="69"/>
      <c r="AG478" s="67"/>
    </row>
    <row r="479" spans="1:33" s="73" customFormat="1" ht="28.8" hidden="1" outlineLevel="1">
      <c r="A479" s="700"/>
      <c r="B479" s="701"/>
      <c r="C479" s="702" t="s">
        <v>473</v>
      </c>
      <c r="D479" s="703" t="e">
        <f>D476/D475</f>
        <v>#DIV/0!</v>
      </c>
      <c r="E479" s="703" t="e">
        <f>E476/(D477+E475)</f>
        <v>#DIV/0!</v>
      </c>
      <c r="F479" s="703" t="e">
        <f>F476/(E477+F475)</f>
        <v>#DIV/0!</v>
      </c>
      <c r="G479" s="703" t="e">
        <f>G476/(F477+G475)</f>
        <v>#DIV/0!</v>
      </c>
      <c r="H479" s="701"/>
      <c r="I479" s="701"/>
      <c r="J479" s="701"/>
      <c r="K479" s="701"/>
      <c r="L479" s="701"/>
      <c r="M479" s="84"/>
      <c r="N479" s="89"/>
      <c r="O479" s="84"/>
      <c r="P479" s="84"/>
      <c r="Q479" s="84"/>
      <c r="R479" s="84"/>
      <c r="S479" s="84"/>
      <c r="X479" s="121"/>
      <c r="Y479" s="121"/>
      <c r="Z479" s="121"/>
      <c r="AA479" s="75"/>
      <c r="AB479" s="75"/>
      <c r="AC479" s="76"/>
      <c r="AD479" s="69"/>
      <c r="AE479" s="69"/>
      <c r="AG479" s="67"/>
    </row>
    <row r="480" spans="1:33" s="73" customFormat="1" hidden="1" outlineLevel="1">
      <c r="A480" s="672"/>
      <c r="B480" s="672"/>
      <c r="C480" s="672"/>
      <c r="D480" s="672"/>
      <c r="E480" s="672"/>
      <c r="F480" s="672"/>
      <c r="G480" s="672"/>
      <c r="H480" s="672"/>
      <c r="I480" s="672"/>
      <c r="J480" s="672"/>
      <c r="K480" s="672"/>
      <c r="L480" s="672"/>
      <c r="M480" s="84"/>
      <c r="N480" s="89"/>
      <c r="O480" s="84"/>
      <c r="P480" s="84"/>
      <c r="Q480" s="84"/>
      <c r="R480" s="84"/>
      <c r="S480" s="84"/>
      <c r="X480" s="121"/>
      <c r="Y480" s="121"/>
      <c r="Z480" s="121"/>
      <c r="AA480" s="75"/>
      <c r="AB480" s="75"/>
      <c r="AC480" s="76"/>
      <c r="AD480" s="69"/>
      <c r="AE480" s="69"/>
      <c r="AG480" s="67"/>
    </row>
    <row r="481" spans="1:33" s="73" customFormat="1" outlineLevel="1">
      <c r="M481" s="84"/>
      <c r="N481" s="89"/>
      <c r="O481" s="84"/>
      <c r="P481" s="84"/>
      <c r="Q481" s="84"/>
      <c r="R481" s="84"/>
      <c r="S481" s="84"/>
      <c r="X481" s="121"/>
      <c r="Y481" s="121"/>
      <c r="Z481" s="121"/>
      <c r="AA481" s="75"/>
      <c r="AB481" s="75"/>
      <c r="AC481" s="76"/>
      <c r="AD481" s="69"/>
      <c r="AE481" s="69"/>
      <c r="AG481" s="67"/>
    </row>
    <row r="482" spans="1:33" outlineLevel="1">
      <c r="A482" s="81"/>
      <c r="B482" s="61"/>
      <c r="C482" s="443"/>
      <c r="D482" s="153"/>
      <c r="E482" s="153"/>
      <c r="F482" s="153"/>
      <c r="G482" s="153"/>
      <c r="H482" s="61"/>
      <c r="I482" s="61"/>
      <c r="J482" s="61"/>
      <c r="K482" s="61"/>
      <c r="L482" s="61"/>
      <c r="M482" s="61"/>
      <c r="N482" s="82"/>
      <c r="X482" s="121"/>
      <c r="Y482" s="121"/>
      <c r="Z482" s="121"/>
      <c r="AA482" s="75"/>
      <c r="AB482" s="75"/>
      <c r="AC482" s="76"/>
      <c r="AD482" s="69"/>
      <c r="AE482" s="122"/>
    </row>
    <row r="483" spans="1:33" outlineLevel="1">
      <c r="A483" s="81"/>
      <c r="B483" s="61"/>
      <c r="C483" s="443"/>
      <c r="D483" s="153"/>
      <c r="E483" s="153"/>
      <c r="F483" s="153"/>
      <c r="G483" s="153"/>
      <c r="H483" s="61"/>
      <c r="I483" s="61"/>
      <c r="J483" s="61"/>
      <c r="K483" s="61"/>
      <c r="L483" s="61"/>
      <c r="M483" s="61"/>
      <c r="N483" s="82"/>
      <c r="X483" s="121"/>
      <c r="Y483" s="121"/>
      <c r="Z483" s="121"/>
      <c r="AA483" s="75"/>
      <c r="AB483" s="75"/>
      <c r="AC483" s="76"/>
      <c r="AD483" s="69"/>
      <c r="AE483" s="122"/>
    </row>
    <row r="484" spans="1:33" ht="15" thickBot="1">
      <c r="A484" s="85"/>
      <c r="B484" s="86"/>
      <c r="C484" s="86"/>
      <c r="D484" s="86"/>
      <c r="E484" s="86"/>
      <c r="F484" s="86"/>
      <c r="G484" s="86"/>
      <c r="H484" s="86"/>
      <c r="I484" s="86"/>
      <c r="J484" s="86"/>
      <c r="K484" s="86"/>
      <c r="L484" s="86"/>
      <c r="M484" s="86"/>
      <c r="N484" s="87"/>
      <c r="X484" s="121" t="s">
        <v>246</v>
      </c>
      <c r="Y484" s="121" t="s">
        <v>245</v>
      </c>
      <c r="Z484" s="121" t="str">
        <f>CONCATENATE(X484,Y484)</f>
        <v>ML</v>
      </c>
      <c r="AA484" s="75" t="s">
        <v>292</v>
      </c>
      <c r="AB484" s="75" t="s">
        <v>265</v>
      </c>
      <c r="AC484" s="76" t="str">
        <f>CONCATENATE(Z484,AA484)</f>
        <v>ML$1321</v>
      </c>
      <c r="AD484" s="69" t="str">
        <f>CONCATENATE(AB484,AC484)</f>
        <v>=Consolidated!ML$1321</v>
      </c>
      <c r="AE484" s="122" t="s">
        <v>421</v>
      </c>
      <c r="AG484" s="67">
        <v>2</v>
      </c>
    </row>
    <row r="485" spans="1:33" ht="18">
      <c r="A485" s="100"/>
      <c r="B485" s="101"/>
      <c r="C485" s="103" t="s">
        <v>289</v>
      </c>
      <c r="D485" s="101"/>
      <c r="E485" s="101"/>
      <c r="F485" s="101"/>
      <c r="G485" s="101"/>
      <c r="H485" s="101"/>
      <c r="I485" s="101"/>
      <c r="J485" s="101"/>
      <c r="K485" s="101"/>
      <c r="L485" s="101"/>
      <c r="M485" s="101"/>
      <c r="N485" s="102"/>
      <c r="X485" s="121" t="s">
        <v>246</v>
      </c>
      <c r="Y485" s="121" t="s">
        <v>246</v>
      </c>
      <c r="Z485" s="121" t="str">
        <f>CONCATENATE(X485,Y485)</f>
        <v>MM</v>
      </c>
      <c r="AA485" s="75" t="s">
        <v>292</v>
      </c>
      <c r="AB485" s="75" t="s">
        <v>265</v>
      </c>
      <c r="AC485" s="76" t="str">
        <f>CONCATENATE(Z485,AA485)</f>
        <v>MM$1321</v>
      </c>
      <c r="AD485" s="69" t="str">
        <f>CONCATENATE(AB485,AC485)</f>
        <v>=Consolidated!MM$1321</v>
      </c>
      <c r="AE485" s="122" t="s">
        <v>422</v>
      </c>
      <c r="AG485" s="67">
        <v>3</v>
      </c>
    </row>
    <row r="486" spans="1:33" outlineLevel="1">
      <c r="A486" s="81"/>
      <c r="B486" s="61"/>
      <c r="C486" s="61"/>
      <c r="D486" s="61"/>
      <c r="E486" s="61"/>
      <c r="F486" s="61"/>
      <c r="G486" s="61"/>
      <c r="H486" s="61"/>
      <c r="I486" s="61"/>
      <c r="J486" s="61"/>
      <c r="K486" s="61"/>
      <c r="L486" s="61"/>
      <c r="M486" s="61"/>
      <c r="N486" s="82"/>
      <c r="X486" s="121" t="s">
        <v>246</v>
      </c>
      <c r="Y486" s="121" t="s">
        <v>247</v>
      </c>
      <c r="Z486" s="121" t="str">
        <f>CONCATENATE(X486,Y486)</f>
        <v>MN</v>
      </c>
      <c r="AA486" s="75" t="s">
        <v>292</v>
      </c>
      <c r="AB486" s="75" t="s">
        <v>265</v>
      </c>
      <c r="AC486" s="76" t="str">
        <f>CONCATENATE(Z486,AA486)</f>
        <v>MN$1321</v>
      </c>
      <c r="AD486" s="69" t="str">
        <f>CONCATENATE(AB486,AC486)</f>
        <v>=Consolidated!MN$1321</v>
      </c>
      <c r="AE486" s="122" t="s">
        <v>423</v>
      </c>
      <c r="AG486" s="67">
        <v>4</v>
      </c>
    </row>
    <row r="487" spans="1:33" outlineLevel="1">
      <c r="A487" s="81"/>
      <c r="B487" s="61"/>
      <c r="C487" s="226" t="s">
        <v>861</v>
      </c>
      <c r="D487" s="61"/>
      <c r="E487" s="61"/>
      <c r="F487" s="61"/>
      <c r="G487" s="61"/>
      <c r="H487" s="61"/>
      <c r="I487" s="61"/>
      <c r="J487" s="61"/>
      <c r="K487" s="61"/>
      <c r="L487" s="61"/>
      <c r="M487" s="61"/>
      <c r="N487" s="82"/>
      <c r="X487" s="121" t="s">
        <v>246</v>
      </c>
      <c r="Y487" s="121" t="s">
        <v>248</v>
      </c>
      <c r="Z487" s="121" t="str">
        <f>CONCATENATE(X487,Y487)</f>
        <v>MO</v>
      </c>
      <c r="AA487" s="75" t="s">
        <v>292</v>
      </c>
      <c r="AB487" s="75" t="s">
        <v>265</v>
      </c>
      <c r="AC487" s="76" t="str">
        <f>CONCATENATE(Z487,AA487)</f>
        <v>MO$1321</v>
      </c>
      <c r="AD487" s="69" t="str">
        <f>CONCATENATE(AB487,AC487)</f>
        <v>=Consolidated!MO$1321</v>
      </c>
      <c r="AE487" s="122" t="s">
        <v>424</v>
      </c>
      <c r="AG487" s="67">
        <v>5</v>
      </c>
    </row>
    <row r="488" spans="1:33" outlineLevel="1">
      <c r="A488" s="81"/>
      <c r="B488" s="61"/>
      <c r="C488" s="705" t="s">
        <v>862</v>
      </c>
      <c r="D488" s="61"/>
      <c r="E488" s="61"/>
      <c r="F488" s="61"/>
      <c r="G488" s="61"/>
      <c r="H488" s="61"/>
      <c r="I488" s="61"/>
      <c r="J488" s="61"/>
      <c r="K488" s="61"/>
      <c r="L488" s="61"/>
      <c r="M488" s="61"/>
      <c r="N488" s="82"/>
      <c r="X488" s="121" t="s">
        <v>246</v>
      </c>
      <c r="Y488" s="121" t="s">
        <v>253</v>
      </c>
      <c r="Z488" s="121" t="str">
        <f>CONCATENATE(X488,Y488)</f>
        <v>MT</v>
      </c>
      <c r="AA488" s="75" t="s">
        <v>292</v>
      </c>
      <c r="AB488" s="75" t="s">
        <v>265</v>
      </c>
      <c r="AC488" s="76" t="str">
        <f>CONCATENATE(Z488,AA488)</f>
        <v>MT$1321</v>
      </c>
      <c r="AD488" s="69" t="str">
        <f>CONCATENATE(AB488,AC488)</f>
        <v>=Consolidated!MT$1321</v>
      </c>
      <c r="AE488" s="122" t="s">
        <v>429</v>
      </c>
      <c r="AG488" s="67">
        <v>3</v>
      </c>
    </row>
    <row r="489" spans="1:33" outlineLevel="1">
      <c r="A489" s="81"/>
      <c r="B489" s="61"/>
      <c r="C489" s="714" t="s">
        <v>863</v>
      </c>
      <c r="D489" s="61"/>
      <c r="E489" s="61"/>
      <c r="F489" s="61"/>
      <c r="G489" s="61"/>
      <c r="H489" s="61"/>
      <c r="I489" s="61"/>
      <c r="J489" s="61"/>
      <c r="K489" s="61"/>
      <c r="L489" s="61"/>
      <c r="M489" s="61"/>
      <c r="N489" s="82"/>
      <c r="X489" s="121"/>
      <c r="Y489" s="121"/>
      <c r="Z489" s="121"/>
      <c r="AA489" s="75"/>
      <c r="AB489" s="75"/>
      <c r="AC489" s="76"/>
      <c r="AD489" s="69"/>
      <c r="AE489" s="122"/>
    </row>
    <row r="490" spans="1:33" outlineLevel="1">
      <c r="A490" s="81"/>
      <c r="B490" s="61"/>
      <c r="C490" s="61"/>
      <c r="D490" s="61"/>
      <c r="E490" s="61"/>
      <c r="F490" s="61"/>
      <c r="G490" s="61"/>
      <c r="H490" s="61"/>
      <c r="I490" s="61"/>
      <c r="J490" s="61"/>
      <c r="K490" s="61"/>
      <c r="L490" s="61"/>
      <c r="M490" s="61"/>
      <c r="N490" s="82"/>
      <c r="X490" s="121"/>
      <c r="Y490" s="121"/>
      <c r="Z490" s="121"/>
      <c r="AA490" s="75"/>
      <c r="AB490" s="75"/>
      <c r="AC490" s="76"/>
      <c r="AD490" s="69"/>
      <c r="AE490" s="122"/>
    </row>
    <row r="491" spans="1:33" ht="15" thickBot="1">
      <c r="A491" s="85"/>
      <c r="B491" s="86"/>
      <c r="C491" s="86"/>
      <c r="D491" s="86"/>
      <c r="E491" s="86"/>
      <c r="F491" s="86"/>
      <c r="G491" s="86"/>
      <c r="H491" s="86"/>
      <c r="I491" s="86"/>
      <c r="J491" s="86"/>
      <c r="K491" s="86"/>
      <c r="L491" s="86"/>
      <c r="M491" s="86"/>
      <c r="N491" s="87"/>
      <c r="AE491" s="69"/>
    </row>
    <row r="492" spans="1:33" ht="18">
      <c r="A492" s="100"/>
      <c r="B492" s="101"/>
      <c r="C492" s="103" t="s">
        <v>513</v>
      </c>
      <c r="D492" s="101"/>
      <c r="E492" s="101"/>
      <c r="F492" s="101"/>
      <c r="G492" s="101"/>
      <c r="H492" s="101"/>
      <c r="I492" s="101"/>
      <c r="J492" s="101"/>
      <c r="K492" s="101"/>
      <c r="L492" s="101"/>
      <c r="M492" s="101"/>
      <c r="N492" s="102"/>
      <c r="X492" s="121" t="s">
        <v>246</v>
      </c>
      <c r="Y492" s="121" t="s">
        <v>246</v>
      </c>
      <c r="Z492" s="121" t="str">
        <f>CONCATENATE(X492,Y492)</f>
        <v>MM</v>
      </c>
      <c r="AA492" s="75" t="s">
        <v>292</v>
      </c>
      <c r="AB492" s="75" t="s">
        <v>265</v>
      </c>
      <c r="AC492" s="76" t="str">
        <f>CONCATENATE(Z492,AA492)</f>
        <v>MM$1321</v>
      </c>
      <c r="AD492" s="69" t="str">
        <f>CONCATENATE(AB492,AC492)</f>
        <v>=Consolidated!MM$1321</v>
      </c>
      <c r="AE492" s="122" t="s">
        <v>422</v>
      </c>
      <c r="AG492" s="67">
        <v>3</v>
      </c>
    </row>
    <row r="493" spans="1:33" outlineLevel="1">
      <c r="A493" s="81"/>
      <c r="B493" s="61"/>
      <c r="C493" s="61"/>
      <c r="D493" s="61"/>
      <c r="E493" s="61"/>
      <c r="F493" s="61"/>
      <c r="G493" s="61"/>
      <c r="H493" s="61"/>
      <c r="I493" s="61"/>
      <c r="J493" s="61"/>
      <c r="K493" s="61"/>
      <c r="L493" s="61"/>
      <c r="M493" s="61"/>
      <c r="N493" s="82"/>
      <c r="X493" s="121" t="s">
        <v>246</v>
      </c>
      <c r="Y493" s="121" t="s">
        <v>247</v>
      </c>
      <c r="Z493" s="121" t="str">
        <f>CONCATENATE(X493,Y493)</f>
        <v>MN</v>
      </c>
      <c r="AA493" s="75" t="s">
        <v>292</v>
      </c>
      <c r="AB493" s="75" t="s">
        <v>265</v>
      </c>
      <c r="AC493" s="76" t="str">
        <f>CONCATENATE(Z493,AA493)</f>
        <v>MN$1321</v>
      </c>
      <c r="AD493" s="69" t="str">
        <f>CONCATENATE(AB493,AC493)</f>
        <v>=Consolidated!MN$1321</v>
      </c>
      <c r="AE493" s="122" t="s">
        <v>423</v>
      </c>
      <c r="AG493" s="67">
        <v>4</v>
      </c>
    </row>
    <row r="494" spans="1:33" outlineLevel="1">
      <c r="A494" s="81"/>
      <c r="B494" s="61"/>
      <c r="C494" s="104"/>
      <c r="D494" s="61"/>
      <c r="E494" s="61"/>
      <c r="F494" s="61"/>
      <c r="G494" s="61"/>
      <c r="H494" s="61"/>
      <c r="I494" s="61"/>
      <c r="J494" s="61"/>
      <c r="K494" s="61"/>
      <c r="L494" s="61"/>
      <c r="M494" s="61"/>
      <c r="N494" s="82"/>
      <c r="X494" s="121" t="s">
        <v>246</v>
      </c>
      <c r="Y494" s="121" t="s">
        <v>249</v>
      </c>
      <c r="Z494" s="121" t="str">
        <f>CONCATENATE(X494,Y494)</f>
        <v>MP</v>
      </c>
      <c r="AA494" s="75" t="s">
        <v>292</v>
      </c>
      <c r="AB494" s="75" t="s">
        <v>265</v>
      </c>
      <c r="AC494" s="76" t="str">
        <f>CONCATENATE(Z494,AA494)</f>
        <v>MP$1321</v>
      </c>
      <c r="AD494" s="69" t="str">
        <f>CONCATENATE(AB494,AC494)</f>
        <v>=Consolidated!MP$1321</v>
      </c>
      <c r="AE494" s="122" t="s">
        <v>425</v>
      </c>
      <c r="AG494" s="67">
        <v>6</v>
      </c>
    </row>
    <row r="495" spans="1:33" ht="28.8" outlineLevel="1">
      <c r="A495" s="81"/>
      <c r="B495" s="61"/>
      <c r="C495" s="199" t="s">
        <v>514</v>
      </c>
      <c r="D495" s="199">
        <v>2013</v>
      </c>
      <c r="E495" s="199">
        <v>2014</v>
      </c>
      <c r="F495" s="199">
        <v>2015</v>
      </c>
      <c r="G495" s="199">
        <v>2016</v>
      </c>
      <c r="H495" s="199" t="s">
        <v>290</v>
      </c>
      <c r="I495" s="199" t="s">
        <v>301</v>
      </c>
      <c r="J495" s="199" t="s">
        <v>282</v>
      </c>
      <c r="K495" s="67"/>
      <c r="L495" s="61"/>
      <c r="M495" s="61"/>
      <c r="N495" s="82"/>
      <c r="X495" s="121" t="s">
        <v>246</v>
      </c>
      <c r="Y495" s="121" t="s">
        <v>250</v>
      </c>
      <c r="Z495" s="121" t="str">
        <f>CONCATENATE(X495,Y495)</f>
        <v>MQ</v>
      </c>
      <c r="AA495" s="75" t="s">
        <v>292</v>
      </c>
      <c r="AB495" s="75" t="s">
        <v>265</v>
      </c>
      <c r="AC495" s="76" t="str">
        <f>CONCATENATE(Z495,AA495)</f>
        <v>MQ$1321</v>
      </c>
      <c r="AD495" s="69" t="str">
        <f>CONCATENATE(AB495,AC495)</f>
        <v>=Consolidated!MQ$1321</v>
      </c>
      <c r="AE495" s="69" t="s">
        <v>426</v>
      </c>
    </row>
    <row r="496" spans="1:33" outlineLevel="1">
      <c r="A496" s="235">
        <v>1</v>
      </c>
      <c r="B496" s="61"/>
      <c r="C496" s="204" t="str">
        <f>C2</f>
        <v>Agency Breakdown</v>
      </c>
      <c r="D496" s="200" t="e">
        <f t="shared" ref="D496:J496" si="36">E41</f>
        <v>#REF!</v>
      </c>
      <c r="E496" s="200" t="e">
        <f t="shared" si="36"/>
        <v>#REF!</v>
      </c>
      <c r="F496" s="200" t="e">
        <f t="shared" si="36"/>
        <v>#REF!</v>
      </c>
      <c r="G496" s="200" t="e">
        <f t="shared" si="36"/>
        <v>#REF!</v>
      </c>
      <c r="H496" s="200" t="e">
        <f t="shared" si="36"/>
        <v>#REF!</v>
      </c>
      <c r="I496" s="200" t="e">
        <f t="shared" si="36"/>
        <v>#REF!</v>
      </c>
      <c r="J496" s="200" t="e">
        <f t="shared" si="36"/>
        <v>#REF!</v>
      </c>
      <c r="K496" s="67"/>
      <c r="L496" s="61"/>
      <c r="M496" s="61"/>
      <c r="N496" s="82"/>
      <c r="X496" s="121" t="s">
        <v>246</v>
      </c>
      <c r="Y496" s="121" t="s">
        <v>251</v>
      </c>
      <c r="Z496" s="121" t="str">
        <f>CONCATENATE(X496,Y496)</f>
        <v>MR</v>
      </c>
      <c r="AA496" s="75" t="s">
        <v>292</v>
      </c>
      <c r="AB496" s="75" t="s">
        <v>265</v>
      </c>
      <c r="AC496" s="76" t="str">
        <f>CONCATENATE(Z496,AA496)</f>
        <v>MR$1321</v>
      </c>
      <c r="AD496" s="69" t="str">
        <f>CONCATENATE(AB496,AC496)</f>
        <v>=Consolidated!MR$1321</v>
      </c>
      <c r="AE496" s="122" t="s">
        <v>427</v>
      </c>
      <c r="AG496" s="67">
        <v>1</v>
      </c>
    </row>
    <row r="497" spans="1:33" outlineLevel="1">
      <c r="A497" s="235">
        <v>2</v>
      </c>
      <c r="B497" s="61"/>
      <c r="C497" s="203" t="str">
        <f>C111</f>
        <v>Spatial Coverage Breakdown</v>
      </c>
      <c r="D497" s="201" t="e">
        <f t="shared" ref="D497:J497" si="37">E135</f>
        <v>#REF!</v>
      </c>
      <c r="E497" s="201" t="e">
        <f t="shared" si="37"/>
        <v>#REF!</v>
      </c>
      <c r="F497" s="201" t="e">
        <f t="shared" si="37"/>
        <v>#REF!</v>
      </c>
      <c r="G497" s="201" t="e">
        <f t="shared" si="37"/>
        <v>#REF!</v>
      </c>
      <c r="H497" s="201" t="e">
        <f t="shared" si="37"/>
        <v>#REF!</v>
      </c>
      <c r="I497" s="201" t="e">
        <f t="shared" si="37"/>
        <v>#REF!</v>
      </c>
      <c r="J497" s="201" t="e">
        <f t="shared" si="37"/>
        <v>#REF!</v>
      </c>
      <c r="K497" s="67"/>
      <c r="L497" s="61"/>
      <c r="M497" s="61"/>
      <c r="N497" s="82"/>
      <c r="X497" s="121"/>
      <c r="Y497" s="121"/>
      <c r="Z497" s="121"/>
      <c r="AA497" s="75"/>
      <c r="AB497" s="75"/>
      <c r="AC497" s="76"/>
      <c r="AD497" s="69"/>
      <c r="AE497" s="122"/>
    </row>
    <row r="498" spans="1:33" outlineLevel="1">
      <c r="A498" s="235">
        <v>3</v>
      </c>
      <c r="B498" s="61"/>
      <c r="C498" s="203" t="str">
        <f>C207</f>
        <v>Funding Source Breakdown</v>
      </c>
      <c r="D498" s="202">
        <f t="shared" ref="D498:J498" si="38">D214</f>
        <v>0</v>
      </c>
      <c r="E498" s="202">
        <f t="shared" si="38"/>
        <v>0</v>
      </c>
      <c r="F498" s="202">
        <f t="shared" si="38"/>
        <v>0</v>
      </c>
      <c r="G498" s="202">
        <f t="shared" si="38"/>
        <v>0</v>
      </c>
      <c r="H498" s="202">
        <f t="shared" si="38"/>
        <v>0</v>
      </c>
      <c r="I498" s="202">
        <f t="shared" si="38"/>
        <v>0</v>
      </c>
      <c r="J498" s="202">
        <f t="shared" si="38"/>
        <v>0</v>
      </c>
      <c r="K498" s="67"/>
      <c r="L498" s="61"/>
      <c r="M498" s="61"/>
      <c r="N498" s="82"/>
      <c r="X498" s="121" t="s">
        <v>246</v>
      </c>
      <c r="Y498" s="121" t="s">
        <v>252</v>
      </c>
      <c r="Z498" s="121" t="str">
        <f t="shared" ref="Z498:Z503" si="39">CONCATENATE(X498,Y498)</f>
        <v>MS</v>
      </c>
      <c r="AA498" s="75" t="s">
        <v>292</v>
      </c>
      <c r="AB498" s="75" t="s">
        <v>265</v>
      </c>
      <c r="AC498" s="76" t="str">
        <f t="shared" ref="AC498:AC503" si="40">CONCATENATE(Z498,AA498)</f>
        <v>MS$1321</v>
      </c>
      <c r="AD498" s="69" t="str">
        <f t="shared" ref="AD498:AD503" si="41">CONCATENATE(AB498,AC498)</f>
        <v>=Consolidated!MS$1321</v>
      </c>
      <c r="AE498" s="122" t="s">
        <v>428</v>
      </c>
      <c r="AG498" s="67">
        <v>2</v>
      </c>
    </row>
    <row r="499" spans="1:33" outlineLevel="1">
      <c r="A499" s="235">
        <v>4</v>
      </c>
      <c r="B499" s="61"/>
      <c r="C499" s="203" t="str">
        <f>C258</f>
        <v>Contribution to PDP Outcome</v>
      </c>
      <c r="D499" s="205">
        <f t="shared" ref="D499:J499" si="42">E268</f>
        <v>0</v>
      </c>
      <c r="E499" s="205">
        <f t="shared" si="42"/>
        <v>0</v>
      </c>
      <c r="F499" s="205">
        <f t="shared" si="42"/>
        <v>0</v>
      </c>
      <c r="G499" s="205">
        <f t="shared" si="42"/>
        <v>0</v>
      </c>
      <c r="H499" s="205">
        <f t="shared" si="42"/>
        <v>0</v>
      </c>
      <c r="I499" s="205">
        <f t="shared" si="42"/>
        <v>0</v>
      </c>
      <c r="J499" s="201">
        <f t="shared" si="42"/>
        <v>0</v>
      </c>
      <c r="K499" s="67"/>
      <c r="L499" s="61"/>
      <c r="M499" s="61"/>
      <c r="N499" s="82"/>
      <c r="X499" s="121" t="s">
        <v>246</v>
      </c>
      <c r="Y499" s="121" t="s">
        <v>253</v>
      </c>
      <c r="Z499" s="121" t="str">
        <f t="shared" si="39"/>
        <v>MT</v>
      </c>
      <c r="AA499" s="75" t="s">
        <v>292</v>
      </c>
      <c r="AB499" s="75" t="s">
        <v>265</v>
      </c>
      <c r="AC499" s="76" t="str">
        <f t="shared" si="40"/>
        <v>MT$1321</v>
      </c>
      <c r="AD499" s="69" t="str">
        <f t="shared" si="41"/>
        <v>=Consolidated!MT$1321</v>
      </c>
      <c r="AE499" s="122" t="s">
        <v>429</v>
      </c>
      <c r="AG499" s="67">
        <v>3</v>
      </c>
    </row>
    <row r="500" spans="1:33" ht="15" outlineLevel="1" thickBot="1">
      <c r="A500" s="235">
        <v>5</v>
      </c>
      <c r="B500" s="61"/>
      <c r="C500" s="206" t="str">
        <f>C300</f>
        <v>Sectoral Breakdown</v>
      </c>
      <c r="D500" s="207" t="e">
        <f t="shared" ref="D500:J500" si="43">E310</f>
        <v>#REF!</v>
      </c>
      <c r="E500" s="207" t="e">
        <f t="shared" si="43"/>
        <v>#REF!</v>
      </c>
      <c r="F500" s="207" t="e">
        <f t="shared" si="43"/>
        <v>#REF!</v>
      </c>
      <c r="G500" s="207" t="e">
        <f t="shared" si="43"/>
        <v>#REF!</v>
      </c>
      <c r="H500" s="207" t="e">
        <f t="shared" si="43"/>
        <v>#REF!</v>
      </c>
      <c r="I500" s="207" t="e">
        <f t="shared" si="43"/>
        <v>#REF!</v>
      </c>
      <c r="J500" s="207" t="e">
        <f t="shared" si="43"/>
        <v>#REF!</v>
      </c>
      <c r="K500" s="67"/>
      <c r="L500" s="61"/>
      <c r="M500" s="61"/>
      <c r="N500" s="82"/>
      <c r="X500" s="121" t="s">
        <v>246</v>
      </c>
      <c r="Y500" s="121" t="s">
        <v>254</v>
      </c>
      <c r="Z500" s="121" t="str">
        <f t="shared" si="39"/>
        <v>MU</v>
      </c>
      <c r="AA500" s="75" t="s">
        <v>292</v>
      </c>
      <c r="AB500" s="75" t="s">
        <v>265</v>
      </c>
      <c r="AC500" s="76" t="str">
        <f t="shared" si="40"/>
        <v>MU$1321</v>
      </c>
      <c r="AD500" s="69" t="str">
        <f t="shared" si="41"/>
        <v>=Consolidated!MU$1321</v>
      </c>
      <c r="AE500" s="122" t="s">
        <v>430</v>
      </c>
      <c r="AG500" s="67">
        <v>4</v>
      </c>
    </row>
    <row r="501" spans="1:33" ht="21.6" outlineLevel="1" thickBot="1">
      <c r="A501" s="81"/>
      <c r="B501" s="61"/>
      <c r="C501" s="210" t="s">
        <v>515</v>
      </c>
      <c r="D501" s="208" t="e">
        <f t="shared" ref="D501:I501" si="44">IF(SUM(D496:D500)/4=D500, "Consistent", "Inconsistent")</f>
        <v>#REF!</v>
      </c>
      <c r="E501" s="208" t="e">
        <f t="shared" si="44"/>
        <v>#REF!</v>
      </c>
      <c r="F501" s="208" t="e">
        <f t="shared" si="44"/>
        <v>#REF!</v>
      </c>
      <c r="G501" s="208" t="e">
        <f t="shared" si="44"/>
        <v>#REF!</v>
      </c>
      <c r="H501" s="208" t="e">
        <f t="shared" si="44"/>
        <v>#REF!</v>
      </c>
      <c r="I501" s="208" t="e">
        <f t="shared" si="44"/>
        <v>#REF!</v>
      </c>
      <c r="J501" s="209" t="e">
        <f>IF(SUM(J496,J497,J498,J500,J499)/5=J500, "Consistent", "Inconsistent")</f>
        <v>#REF!</v>
      </c>
      <c r="K501" s="67"/>
      <c r="L501" s="61"/>
      <c r="M501" s="61"/>
      <c r="N501" s="82"/>
      <c r="X501" s="121" t="s">
        <v>246</v>
      </c>
      <c r="Y501" s="121" t="s">
        <v>209</v>
      </c>
      <c r="Z501" s="121" t="str">
        <f t="shared" si="39"/>
        <v>MV</v>
      </c>
      <c r="AA501" s="75" t="s">
        <v>292</v>
      </c>
      <c r="AB501" s="75" t="s">
        <v>265</v>
      </c>
      <c r="AC501" s="76" t="str">
        <f t="shared" si="40"/>
        <v>MV$1321</v>
      </c>
      <c r="AD501" s="69" t="str">
        <f t="shared" si="41"/>
        <v>=Consolidated!MV$1321</v>
      </c>
      <c r="AE501" s="122" t="s">
        <v>431</v>
      </c>
      <c r="AG501" s="67">
        <v>5</v>
      </c>
    </row>
    <row r="502" spans="1:33" outlineLevel="1">
      <c r="A502" s="81"/>
      <c r="B502" s="61"/>
      <c r="C502" s="61"/>
      <c r="D502" s="61"/>
      <c r="E502" s="61"/>
      <c r="F502" s="61"/>
      <c r="G502" s="61"/>
      <c r="H502" s="61"/>
      <c r="I502" s="61"/>
      <c r="J502" s="61"/>
      <c r="K502" s="61"/>
      <c r="L502" s="61"/>
      <c r="M502" s="61"/>
      <c r="N502" s="82"/>
      <c r="X502" s="121" t="s">
        <v>246</v>
      </c>
      <c r="Y502" s="121" t="s">
        <v>291</v>
      </c>
      <c r="Z502" s="121" t="str">
        <f t="shared" si="39"/>
        <v>MW</v>
      </c>
      <c r="AA502" s="75" t="s">
        <v>292</v>
      </c>
      <c r="AB502" s="75" t="s">
        <v>265</v>
      </c>
      <c r="AC502" s="76" t="str">
        <f t="shared" si="40"/>
        <v>MW$1321</v>
      </c>
      <c r="AD502" s="69" t="str">
        <f t="shared" si="41"/>
        <v>=Consolidated!MW$1321</v>
      </c>
      <c r="AE502" s="122" t="s">
        <v>432</v>
      </c>
      <c r="AG502" s="67">
        <v>6</v>
      </c>
    </row>
    <row r="503" spans="1:33" outlineLevel="1">
      <c r="A503" s="81"/>
      <c r="B503" s="61"/>
      <c r="C503" s="61"/>
      <c r="D503" s="61"/>
      <c r="E503" s="61"/>
      <c r="F503" s="61"/>
      <c r="G503" s="61"/>
      <c r="H503" s="61"/>
      <c r="I503" s="61"/>
      <c r="J503" s="63"/>
      <c r="K503" s="61"/>
      <c r="L503" s="61"/>
      <c r="M503" s="61"/>
      <c r="N503" s="82"/>
      <c r="X503" s="121" t="s">
        <v>246</v>
      </c>
      <c r="Y503" s="121" t="s">
        <v>214</v>
      </c>
      <c r="Z503" s="121" t="str">
        <f t="shared" si="39"/>
        <v>MX</v>
      </c>
      <c r="AA503" s="75" t="s">
        <v>292</v>
      </c>
      <c r="AB503" s="75" t="s">
        <v>265</v>
      </c>
      <c r="AC503" s="76" t="str">
        <f t="shared" si="40"/>
        <v>MX$1321</v>
      </c>
      <c r="AD503" s="69" t="str">
        <f t="shared" si="41"/>
        <v>=Consolidated!MX$1321</v>
      </c>
      <c r="AE503" s="122" t="s">
        <v>433</v>
      </c>
    </row>
    <row r="504" spans="1:33" outlineLevel="1">
      <c r="A504" s="81"/>
      <c r="B504" s="61"/>
      <c r="C504" s="61"/>
      <c r="D504" s="61"/>
      <c r="E504" s="61"/>
      <c r="F504" s="61"/>
      <c r="G504" s="61"/>
      <c r="H504" s="61"/>
      <c r="I504" s="61"/>
      <c r="J504" s="63" t="e">
        <f>J499-J500</f>
        <v>#REF!</v>
      </c>
      <c r="K504" s="61"/>
      <c r="L504" s="61"/>
      <c r="M504" s="61"/>
      <c r="N504" s="82"/>
      <c r="X504" s="121"/>
      <c r="Y504" s="121"/>
      <c r="Z504" s="121"/>
      <c r="AA504" s="75"/>
      <c r="AB504" s="75"/>
      <c r="AC504" s="76"/>
      <c r="AD504" s="69"/>
      <c r="AE504" s="122"/>
    </row>
    <row r="505" spans="1:33" ht="15" thickBot="1">
      <c r="A505" s="85"/>
      <c r="B505" s="86"/>
      <c r="C505" s="86"/>
      <c r="D505" s="86"/>
      <c r="E505" s="86"/>
      <c r="F505" s="86"/>
      <c r="G505" s="86"/>
      <c r="H505" s="86"/>
      <c r="I505" s="86"/>
      <c r="J505" s="86"/>
      <c r="K505" s="86"/>
      <c r="L505" s="86"/>
      <c r="M505" s="86"/>
      <c r="N505" s="87"/>
      <c r="AE505" s="69"/>
    </row>
    <row r="506" spans="1:33">
      <c r="G506" s="291" t="e">
        <f>G496-G497</f>
        <v>#REF!</v>
      </c>
      <c r="H506" s="291" t="e">
        <f>H496-H497</f>
        <v>#REF!</v>
      </c>
      <c r="I506" s="291" t="e">
        <f>I496-I497</f>
        <v>#REF!</v>
      </c>
    </row>
    <row r="507" spans="1:33"/>
    <row r="508" spans="1:33"/>
    <row r="509" spans="1:33"/>
    <row r="510" spans="1:33" hidden="1"/>
    <row r="511" spans="1:33" hidden="1"/>
    <row r="512" spans="1:33" hidden="1"/>
    <row r="513" hidden="1"/>
    <row r="514" hidden="1"/>
    <row r="515" hidden="1"/>
    <row r="516" hidden="1"/>
    <row r="517" hidden="1"/>
    <row r="518" hidden="1"/>
    <row r="519" hidden="1"/>
    <row r="520" hidden="1"/>
    <row r="521" hidden="1"/>
    <row r="522" hidden="1"/>
    <row r="523" hidden="1"/>
    <row r="524" hidden="1"/>
    <row r="525" hidden="1"/>
    <row r="526" hidden="1"/>
    <row r="527" hidden="1"/>
    <row r="528" hidden="1"/>
    <row r="529" hidden="1"/>
    <row r="530" hidden="1"/>
    <row r="531" hidden="1"/>
    <row r="532" hidden="1"/>
    <row r="533" hidden="1"/>
    <row r="534" hidden="1"/>
    <row r="535" hidden="1"/>
    <row r="536" hidden="1"/>
    <row r="537" hidden="1"/>
    <row r="538" hidden="1"/>
    <row r="539" hidden="1"/>
    <row r="540" hidden="1"/>
    <row r="541" hidden="1"/>
    <row r="542" hidden="1"/>
    <row r="543" hidden="1"/>
    <row r="544" hidden="1"/>
    <row r="545" hidden="1"/>
    <row r="546" hidden="1"/>
    <row r="547" hidden="1"/>
    <row r="548" hidden="1"/>
    <row r="549" hidden="1"/>
    <row r="550" hidden="1"/>
    <row r="551" hidden="1"/>
    <row r="552" hidden="1"/>
    <row r="553" hidden="1"/>
    <row r="554" hidden="1"/>
    <row r="555" hidden="1"/>
    <row r="556" hidden="1"/>
    <row r="557" hidden="1"/>
    <row r="558" hidden="1"/>
    <row r="559" hidden="1"/>
    <row r="560" hidden="1"/>
    <row r="561" hidden="1"/>
    <row r="562" hidden="1"/>
    <row r="563" hidden="1"/>
    <row r="564" hidden="1"/>
    <row r="565" hidden="1"/>
    <row r="566" hidden="1"/>
    <row r="567" hidden="1"/>
    <row r="568" hidden="1"/>
    <row r="569" hidden="1"/>
    <row r="570" hidden="1"/>
    <row r="571" hidden="1"/>
    <row r="572" hidden="1"/>
    <row r="573" hidden="1"/>
    <row r="574" hidden="1"/>
    <row r="575" hidden="1"/>
    <row r="576" hidden="1"/>
    <row r="577" hidden="1"/>
    <row r="578" hidden="1"/>
    <row r="579" hidden="1"/>
    <row r="580" hidden="1"/>
    <row r="581" hidden="1"/>
    <row r="582" hidden="1"/>
    <row r="583" hidden="1"/>
    <row r="584" hidden="1"/>
    <row r="585" hidden="1"/>
    <row r="586" hidden="1"/>
    <row r="587" hidden="1"/>
    <row r="588" hidden="1"/>
    <row r="589" hidden="1"/>
    <row r="590" hidden="1"/>
    <row r="591" hidden="1"/>
    <row r="592" hidden="1"/>
    <row r="593" hidden="1"/>
    <row r="594" hidden="1"/>
    <row r="595" hidden="1"/>
    <row r="596" hidden="1"/>
    <row r="597" hidden="1"/>
    <row r="598" hidden="1"/>
    <row r="599" hidden="1"/>
    <row r="600" hidden="1"/>
    <row r="601" hidden="1"/>
    <row r="602" hidden="1"/>
    <row r="603" hidden="1"/>
    <row r="604" hidden="1"/>
    <row r="605" hidden="1"/>
    <row r="606" hidden="1"/>
    <row r="607" hidden="1"/>
    <row r="608" hidden="1"/>
    <row r="609" hidden="1"/>
    <row r="610" hidden="1"/>
    <row r="611" hidden="1"/>
    <row r="612" hidden="1"/>
    <row r="613" hidden="1"/>
    <row r="614" hidden="1"/>
    <row r="615" hidden="1"/>
    <row r="616" hidden="1"/>
    <row r="617" hidden="1"/>
    <row r="618" hidden="1"/>
    <row r="619" hidden="1"/>
    <row r="620" hidden="1"/>
    <row r="621" hidden="1"/>
    <row r="622" hidden="1"/>
    <row r="623" hidden="1"/>
    <row r="624" hidden="1"/>
    <row r="625" hidden="1"/>
    <row r="626" hidden="1"/>
    <row r="627" hidden="1"/>
    <row r="628" hidden="1"/>
    <row r="629" hidden="1"/>
    <row r="630" hidden="1"/>
    <row r="631" hidden="1"/>
    <row r="632" hidden="1"/>
    <row r="633" hidden="1"/>
    <row r="634" hidden="1"/>
    <row r="635" hidden="1"/>
    <row r="636" hidden="1"/>
    <row r="637" hidden="1"/>
    <row r="638" hidden="1"/>
    <row r="639" hidden="1"/>
    <row r="640" hidden="1"/>
    <row r="641" hidden="1"/>
    <row r="642" hidden="1"/>
    <row r="643" hidden="1"/>
    <row r="644" hidden="1"/>
    <row r="645" hidden="1"/>
    <row r="646" hidden="1"/>
    <row r="647" hidden="1"/>
    <row r="648" hidden="1"/>
    <row r="649" hidden="1"/>
    <row r="650" hidden="1"/>
    <row r="651" hidden="1"/>
    <row r="652" hidden="1"/>
    <row r="653" hidden="1"/>
    <row r="654" hidden="1"/>
    <row r="655" hidden="1"/>
    <row r="656" hidden="1"/>
    <row r="657" hidden="1"/>
    <row r="658" hidden="1"/>
    <row r="659" hidden="1"/>
    <row r="660" hidden="1"/>
    <row r="661" hidden="1"/>
    <row r="662" hidden="1"/>
    <row r="663" hidden="1"/>
    <row r="664" hidden="1"/>
    <row r="665" hidden="1"/>
    <row r="666" hidden="1"/>
    <row r="667" hidden="1"/>
    <row r="668" hidden="1"/>
    <row r="669" hidden="1"/>
    <row r="670" hidden="1"/>
    <row r="671" hidden="1"/>
    <row r="672" hidden="1"/>
    <row r="673" hidden="1"/>
    <row r="674" hidden="1"/>
    <row r="675" hidden="1"/>
    <row r="676" hidden="1"/>
    <row r="677" hidden="1"/>
    <row r="678" hidden="1"/>
    <row r="679" hidden="1"/>
    <row r="680" hidden="1"/>
    <row r="681" hidden="1"/>
    <row r="682" hidden="1"/>
    <row r="683" hidden="1"/>
    <row r="684" hidden="1"/>
    <row r="685" hidden="1"/>
    <row r="686" hidden="1"/>
    <row r="687" hidden="1"/>
    <row r="688" hidden="1"/>
    <row r="689" hidden="1"/>
    <row r="690" hidden="1"/>
    <row r="691" hidden="1"/>
    <row r="692" hidden="1"/>
    <row r="693" hidden="1"/>
    <row r="694" hidden="1"/>
    <row r="695" hidden="1"/>
    <row r="696" hidden="1"/>
    <row r="697" hidden="1"/>
    <row r="698" hidden="1"/>
    <row r="699" hidden="1"/>
    <row r="700" hidden="1"/>
    <row r="701" hidden="1"/>
    <row r="702" hidden="1"/>
    <row r="703" hidden="1"/>
    <row r="704" hidden="1"/>
    <row r="705" hidden="1"/>
    <row r="706" hidden="1"/>
    <row r="707" hidden="1"/>
    <row r="708" hidden="1"/>
    <row r="709" hidden="1"/>
    <row r="710" hidden="1"/>
    <row r="711" hidden="1"/>
    <row r="712" hidden="1"/>
    <row r="713" hidden="1"/>
    <row r="714" hidden="1"/>
    <row r="715" hidden="1"/>
    <row r="716" hidden="1"/>
    <row r="717" hidden="1"/>
    <row r="718" hidden="1"/>
    <row r="719" hidden="1"/>
    <row r="720" hidden="1"/>
    <row r="721" hidden="1"/>
    <row r="722" hidden="1"/>
    <row r="723" hidden="1"/>
    <row r="724" hidden="1"/>
    <row r="725" hidden="1"/>
    <row r="726" hidden="1"/>
    <row r="727" hidden="1"/>
    <row r="728" hidden="1"/>
    <row r="729" hidden="1"/>
    <row r="730" hidden="1"/>
    <row r="731" hidden="1"/>
    <row r="732" hidden="1"/>
    <row r="733" hidden="1"/>
    <row r="734" hidden="1"/>
    <row r="735" hidden="1"/>
    <row r="736" hidden="1"/>
    <row r="737" hidden="1"/>
    <row r="738" hidden="1"/>
    <row r="739" hidden="1"/>
    <row r="740" hidden="1"/>
    <row r="741" hidden="1"/>
    <row r="742" hidden="1"/>
    <row r="743" hidden="1"/>
    <row r="744" hidden="1"/>
    <row r="745" hidden="1"/>
    <row r="746" hidden="1"/>
    <row r="747" hidden="1"/>
    <row r="748" hidden="1"/>
    <row r="749" hidden="1"/>
    <row r="750" hidden="1"/>
    <row r="751" hidden="1"/>
    <row r="752" hidden="1"/>
    <row r="753" hidden="1"/>
    <row r="754" hidden="1"/>
    <row r="755" hidden="1"/>
    <row r="756" hidden="1"/>
    <row r="757" hidden="1"/>
    <row r="758" hidden="1"/>
    <row r="759" hidden="1"/>
    <row r="760" hidden="1"/>
    <row r="761" hidden="1"/>
    <row r="762" hidden="1"/>
    <row r="763" hidden="1"/>
    <row r="764" hidden="1"/>
    <row r="765" hidden="1"/>
    <row r="766" hidden="1"/>
    <row r="767" hidden="1"/>
    <row r="768" hidden="1"/>
    <row r="769" spans="16:26" hidden="1"/>
    <row r="770" spans="16:26" hidden="1"/>
    <row r="771" spans="16:26" hidden="1"/>
    <row r="772" spans="16:26" hidden="1"/>
    <row r="773" spans="16:26" hidden="1"/>
    <row r="774" spans="16:26" hidden="1"/>
    <row r="775" spans="16:26" hidden="1"/>
    <row r="776" spans="16:26" hidden="1"/>
    <row r="777" spans="16:26" hidden="1"/>
    <row r="778" spans="16:26" hidden="1"/>
    <row r="779" spans="16:26" hidden="1"/>
    <row r="780" spans="16:26" hidden="1"/>
    <row r="781" spans="16:26" hidden="1"/>
    <row r="782" spans="16:26" hidden="1"/>
    <row r="783" spans="16:26" hidden="1"/>
    <row r="784" spans="16:26" s="238" customFormat="1" hidden="1">
      <c r="P784" s="239"/>
      <c r="V784" s="240"/>
      <c r="X784" s="241"/>
      <c r="Y784" s="241"/>
      <c r="Z784" s="241"/>
    </row>
    <row r="785" spans="16:26" s="238" customFormat="1" hidden="1">
      <c r="P785" s="239"/>
      <c r="V785" s="240"/>
      <c r="X785" s="241"/>
      <c r="Y785" s="241"/>
      <c r="Z785" s="241"/>
    </row>
    <row r="786" spans="16:26" hidden="1"/>
    <row r="787" spans="16:26" hidden="1"/>
    <row r="788" spans="16:26" hidden="1"/>
    <row r="789" spans="16:26" hidden="1"/>
    <row r="790" spans="16:26" hidden="1"/>
    <row r="791" spans="16:26" hidden="1"/>
    <row r="792" spans="16:26" hidden="1"/>
    <row r="793" spans="16:26" hidden="1"/>
    <row r="794" spans="16:26" hidden="1"/>
    <row r="795" spans="16:26" hidden="1"/>
    <row r="796" spans="16:26" hidden="1"/>
    <row r="797" spans="16:26" hidden="1"/>
    <row r="798" spans="16:26" hidden="1"/>
    <row r="799" spans="16:26" hidden="1"/>
    <row r="800" spans="16:26" hidden="1"/>
    <row r="801" hidden="1"/>
    <row r="802" hidden="1"/>
    <row r="803" hidden="1"/>
    <row r="804" hidden="1"/>
    <row r="805" hidden="1"/>
    <row r="806" hidden="1"/>
    <row r="807" hidden="1"/>
    <row r="808" hidden="1"/>
    <row r="809" hidden="1"/>
    <row r="810" hidden="1"/>
    <row r="811" hidden="1"/>
    <row r="812" hidden="1"/>
    <row r="813" hidden="1"/>
    <row r="814" hidden="1"/>
    <row r="815" hidden="1"/>
    <row r="816" hidden="1"/>
    <row r="817" hidden="1"/>
    <row r="818" hidden="1"/>
    <row r="819" hidden="1"/>
    <row r="820" hidden="1"/>
    <row r="821" hidden="1"/>
    <row r="822" hidden="1"/>
    <row r="823" hidden="1"/>
    <row r="824" hidden="1"/>
    <row r="825" hidden="1"/>
    <row r="826" hidden="1"/>
    <row r="827" hidden="1"/>
    <row r="828" hidden="1"/>
    <row r="829" hidden="1"/>
    <row r="830" hidden="1"/>
    <row r="831" hidden="1"/>
    <row r="832" hidden="1"/>
    <row r="833" hidden="1"/>
    <row r="834" hidden="1"/>
    <row r="835" hidden="1"/>
    <row r="836" hidden="1"/>
    <row r="837" hidden="1"/>
    <row r="838" hidden="1"/>
    <row r="839" hidden="1"/>
    <row r="840" hidden="1"/>
    <row r="841" hidden="1"/>
    <row r="842" hidden="1"/>
    <row r="843" hidden="1"/>
    <row r="844" hidden="1"/>
    <row r="845" hidden="1"/>
    <row r="846" hidden="1"/>
    <row r="847" hidden="1"/>
    <row r="848" hidden="1"/>
    <row r="849" hidden="1"/>
    <row r="850" hidden="1"/>
    <row r="851" hidden="1"/>
    <row r="852" hidden="1"/>
    <row r="853" hidden="1"/>
    <row r="854" hidden="1"/>
    <row r="855" hidden="1"/>
    <row r="856" hidden="1"/>
    <row r="857" hidden="1"/>
    <row r="858" hidden="1"/>
    <row r="859" hidden="1"/>
    <row r="860" hidden="1"/>
    <row r="861" hidden="1"/>
    <row r="862" hidden="1"/>
    <row r="863" hidden="1"/>
    <row r="864" hidden="1"/>
    <row r="865" hidden="1"/>
    <row r="866" hidden="1"/>
    <row r="867" hidden="1"/>
    <row r="868" hidden="1"/>
    <row r="869" hidden="1"/>
    <row r="870" hidden="1"/>
    <row r="871" hidden="1"/>
    <row r="872" hidden="1"/>
    <row r="873" hidden="1"/>
    <row r="874" hidden="1"/>
    <row r="875" hidden="1"/>
    <row r="876" hidden="1"/>
    <row r="877" hidden="1"/>
    <row r="878" hidden="1"/>
    <row r="879" hidden="1"/>
    <row r="880" hidden="1"/>
    <row r="881" hidden="1"/>
    <row r="882" hidden="1"/>
    <row r="883" hidden="1"/>
    <row r="884" hidden="1"/>
    <row r="885" hidden="1"/>
    <row r="886" hidden="1"/>
    <row r="887" hidden="1"/>
    <row r="888" hidden="1"/>
    <row r="889" hidden="1"/>
    <row r="890" hidden="1"/>
    <row r="891" hidden="1"/>
    <row r="892" hidden="1"/>
    <row r="893" hidden="1"/>
    <row r="894" hidden="1"/>
    <row r="895" hidden="1"/>
    <row r="896" hidden="1"/>
    <row r="897" hidden="1"/>
    <row r="898" hidden="1"/>
    <row r="899" hidden="1"/>
    <row r="900" hidden="1"/>
    <row r="901" hidden="1"/>
    <row r="902" hidden="1"/>
    <row r="903" hidden="1"/>
    <row r="904" hidden="1"/>
    <row r="905" hidden="1"/>
    <row r="906" hidden="1"/>
    <row r="907" hidden="1"/>
    <row r="908" hidden="1"/>
    <row r="909" hidden="1"/>
    <row r="910" hidden="1"/>
    <row r="911" hidden="1"/>
    <row r="912" hidden="1"/>
    <row r="913" hidden="1"/>
    <row r="914" hidden="1"/>
    <row r="915" hidden="1"/>
    <row r="916" hidden="1"/>
    <row r="917" hidden="1"/>
    <row r="918" hidden="1"/>
    <row r="919" hidden="1"/>
    <row r="920" hidden="1"/>
    <row r="921" hidden="1"/>
    <row r="922" hidden="1"/>
    <row r="923" hidden="1"/>
    <row r="924" hidden="1"/>
    <row r="925" hidden="1"/>
    <row r="926" hidden="1"/>
    <row r="927" hidden="1"/>
    <row r="928" hidden="1"/>
    <row r="929" hidden="1"/>
    <row r="930" hidden="1"/>
    <row r="931" hidden="1"/>
    <row r="932" hidden="1"/>
    <row r="933" hidden="1"/>
    <row r="934" hidden="1"/>
    <row r="935" hidden="1"/>
    <row r="936" hidden="1"/>
    <row r="937" hidden="1"/>
    <row r="938" hidden="1"/>
    <row r="939" hidden="1"/>
    <row r="940" hidden="1"/>
    <row r="941" hidden="1"/>
    <row r="942" hidden="1"/>
    <row r="943" hidden="1"/>
    <row r="944" hidden="1"/>
    <row r="945" hidden="1"/>
    <row r="946" hidden="1"/>
    <row r="947" hidden="1"/>
    <row r="948" hidden="1"/>
    <row r="949" hidden="1"/>
    <row r="950" hidden="1"/>
    <row r="951" hidden="1"/>
    <row r="952" hidden="1"/>
    <row r="953" hidden="1"/>
    <row r="954" hidden="1"/>
    <row r="955" hidden="1"/>
    <row r="956" hidden="1"/>
    <row r="957" hidden="1"/>
    <row r="958" hidden="1"/>
    <row r="959" hidden="1"/>
    <row r="960" hidden="1"/>
    <row r="961" hidden="1"/>
    <row r="962" hidden="1"/>
    <row r="963" hidden="1"/>
    <row r="964" hidden="1"/>
    <row r="965" hidden="1"/>
    <row r="966" hidden="1"/>
    <row r="967" hidden="1"/>
    <row r="968" hidden="1"/>
    <row r="969" hidden="1"/>
    <row r="970" hidden="1"/>
    <row r="971" hidden="1"/>
    <row r="972" hidden="1"/>
    <row r="973" hidden="1"/>
    <row r="974" hidden="1"/>
    <row r="975" hidden="1"/>
    <row r="976" hidden="1"/>
    <row r="977" hidden="1"/>
    <row r="978" hidden="1"/>
    <row r="979" hidden="1"/>
    <row r="980" hidden="1"/>
    <row r="981" hidden="1"/>
    <row r="982" hidden="1"/>
    <row r="983" hidden="1"/>
    <row r="984" hidden="1"/>
    <row r="985" hidden="1"/>
    <row r="986" hidden="1"/>
    <row r="987" hidden="1"/>
    <row r="988" hidden="1"/>
    <row r="989" hidden="1"/>
    <row r="990" hidden="1"/>
    <row r="991" hidden="1"/>
    <row r="992" hidden="1"/>
    <row r="993" hidden="1"/>
    <row r="994" hidden="1"/>
    <row r="995" hidden="1"/>
    <row r="996" hidden="1"/>
    <row r="997" hidden="1"/>
    <row r="998" hidden="1"/>
    <row r="999" hidden="1"/>
    <row r="1000" hidden="1"/>
    <row r="1001" hidden="1"/>
    <row r="1002" hidden="1"/>
    <row r="1003" hidden="1"/>
    <row r="1004" hidden="1"/>
    <row r="1005" hidden="1"/>
    <row r="1006" hidden="1"/>
    <row r="1007" hidden="1"/>
    <row r="1008" hidden="1"/>
    <row r="1009" hidden="1"/>
    <row r="1010" hidden="1"/>
    <row r="1011" hidden="1"/>
    <row r="1012" hidden="1"/>
    <row r="1013" hidden="1"/>
    <row r="1014" hidden="1"/>
    <row r="1015" hidden="1"/>
    <row r="1016" hidden="1"/>
    <row r="1017" hidden="1"/>
    <row r="1018" hidden="1"/>
    <row r="1019" hidden="1"/>
    <row r="1020" hidden="1"/>
    <row r="1021" hidden="1"/>
    <row r="1022" hidden="1"/>
    <row r="1023" hidden="1"/>
    <row r="1024" hidden="1"/>
    <row r="1025" hidden="1"/>
    <row r="1026" hidden="1"/>
    <row r="1027" hidden="1"/>
    <row r="1028" hidden="1"/>
    <row r="1029" hidden="1"/>
    <row r="1030" hidden="1"/>
    <row r="1031" hidden="1"/>
    <row r="1032" hidden="1"/>
    <row r="1033" hidden="1"/>
    <row r="1034" hidden="1"/>
    <row r="1035" hidden="1"/>
    <row r="1036" hidden="1"/>
    <row r="1037" hidden="1"/>
    <row r="1038" hidden="1"/>
    <row r="1039" hidden="1"/>
    <row r="1040" hidden="1"/>
    <row r="1041" hidden="1"/>
    <row r="1042" hidden="1"/>
    <row r="1043" hidden="1"/>
    <row r="1044" hidden="1"/>
    <row r="1045" hidden="1"/>
    <row r="1046" hidden="1"/>
    <row r="1047" hidden="1"/>
    <row r="1048" hidden="1"/>
    <row r="1049" hidden="1"/>
    <row r="1050" hidden="1"/>
    <row r="1051" hidden="1"/>
    <row r="1052" hidden="1"/>
    <row r="1053" hidden="1"/>
    <row r="1054" hidden="1"/>
    <row r="1055" hidden="1"/>
    <row r="1056" hidden="1"/>
    <row r="1057" hidden="1"/>
    <row r="1058" hidden="1"/>
    <row r="1059" hidden="1"/>
    <row r="1060" hidden="1"/>
    <row r="1061" hidden="1"/>
    <row r="1062" hidden="1"/>
    <row r="1063" hidden="1"/>
    <row r="1064" hidden="1"/>
    <row r="1065" hidden="1"/>
    <row r="1066" hidden="1"/>
    <row r="1067" hidden="1"/>
    <row r="1068" hidden="1"/>
    <row r="1069" hidden="1"/>
    <row r="1070" hidden="1"/>
    <row r="1071" hidden="1"/>
    <row r="1072" hidden="1"/>
    <row r="1073" hidden="1"/>
    <row r="1074" hidden="1"/>
    <row r="1075" hidden="1"/>
    <row r="1076" hidden="1"/>
    <row r="1077" hidden="1"/>
    <row r="1078" hidden="1"/>
    <row r="1079" hidden="1"/>
    <row r="1080" hidden="1"/>
    <row r="1081" hidden="1"/>
    <row r="1082" hidden="1"/>
    <row r="1083" hidden="1"/>
    <row r="1084" hidden="1"/>
    <row r="1085" hidden="1"/>
    <row r="1086" hidden="1"/>
    <row r="1087" hidden="1"/>
    <row r="1088" hidden="1"/>
    <row r="1089" hidden="1"/>
    <row r="1090" hidden="1"/>
    <row r="1091" hidden="1"/>
    <row r="1092" hidden="1"/>
    <row r="1093" hidden="1"/>
    <row r="1094" hidden="1"/>
    <row r="1095" hidden="1"/>
    <row r="1096" hidden="1"/>
    <row r="1097" hidden="1"/>
    <row r="1098" hidden="1"/>
    <row r="1099" hidden="1"/>
    <row r="1100" hidden="1"/>
    <row r="1101" hidden="1"/>
    <row r="1102" hidden="1"/>
    <row r="1103" hidden="1"/>
    <row r="1104" hidden="1"/>
    <row r="1105" hidden="1"/>
    <row r="1106" hidden="1"/>
    <row r="1107" hidden="1"/>
    <row r="1108" hidden="1"/>
    <row r="1109" hidden="1"/>
    <row r="1110" hidden="1"/>
    <row r="1111" hidden="1"/>
    <row r="1112" hidden="1"/>
    <row r="1113" hidden="1"/>
    <row r="1114" hidden="1"/>
    <row r="1115" hidden="1"/>
    <row r="1116" hidden="1"/>
    <row r="1117" hidden="1"/>
    <row r="1118" hidden="1"/>
    <row r="1119" hidden="1"/>
    <row r="1120" hidden="1"/>
    <row r="1121" hidden="1"/>
    <row r="1122" hidden="1"/>
    <row r="1123" hidden="1"/>
    <row r="1124" hidden="1"/>
    <row r="1125" hidden="1"/>
    <row r="1126" hidden="1"/>
    <row r="1127" hidden="1"/>
    <row r="1128" hidden="1"/>
    <row r="1129" hidden="1"/>
    <row r="1130" hidden="1"/>
    <row r="1131" hidden="1"/>
    <row r="1132" hidden="1"/>
    <row r="1133" hidden="1"/>
    <row r="1134" hidden="1"/>
    <row r="1135" hidden="1"/>
    <row r="1136" hidden="1"/>
    <row r="1137" hidden="1"/>
    <row r="1138" hidden="1"/>
    <row r="1139" hidden="1"/>
    <row r="1140" hidden="1"/>
    <row r="1141" hidden="1"/>
    <row r="1142" hidden="1"/>
    <row r="1143" hidden="1"/>
    <row r="1144" hidden="1"/>
    <row r="1145" hidden="1"/>
    <row r="1146" hidden="1"/>
    <row r="1147" hidden="1"/>
    <row r="1148" hidden="1"/>
    <row r="1149" hidden="1"/>
    <row r="1150" hidden="1"/>
    <row r="1151" hidden="1"/>
    <row r="1152" hidden="1"/>
    <row r="1153" hidden="1"/>
    <row r="1154" hidden="1"/>
    <row r="1155" hidden="1"/>
    <row r="1156" hidden="1"/>
    <row r="1157" hidden="1"/>
    <row r="1158" hidden="1"/>
    <row r="1159" hidden="1"/>
    <row r="1160" hidden="1"/>
    <row r="1161" hidden="1"/>
    <row r="1162" hidden="1"/>
    <row r="1163" hidden="1"/>
    <row r="1164" hidden="1"/>
    <row r="1165" hidden="1"/>
    <row r="1166" hidden="1"/>
    <row r="1167" hidden="1"/>
    <row r="1168" hidden="1"/>
    <row r="1169" hidden="1"/>
    <row r="1170" hidden="1"/>
    <row r="1171" hidden="1"/>
    <row r="1172" hidden="1"/>
    <row r="1173" hidden="1"/>
    <row r="1174" hidden="1"/>
    <row r="1175" hidden="1"/>
    <row r="1176" hidden="1"/>
    <row r="1177" hidden="1"/>
    <row r="1178" hidden="1"/>
    <row r="1179" hidden="1"/>
    <row r="1180" hidden="1"/>
    <row r="1181" hidden="1"/>
    <row r="1182" hidden="1"/>
    <row r="1183" hidden="1"/>
    <row r="1184" hidden="1"/>
    <row r="1185" hidden="1"/>
    <row r="1186" hidden="1"/>
    <row r="1187" hidden="1"/>
    <row r="1188" hidden="1"/>
    <row r="1189" hidden="1"/>
    <row r="1190" hidden="1"/>
    <row r="1191" hidden="1"/>
    <row r="1192" hidden="1"/>
    <row r="1193" hidden="1"/>
    <row r="1194" hidden="1"/>
    <row r="1195" hidden="1"/>
    <row r="1196" hidden="1"/>
    <row r="1197" hidden="1"/>
    <row r="1198" hidden="1"/>
    <row r="1199" hidden="1"/>
    <row r="1200" hidden="1"/>
    <row r="1201" hidden="1"/>
    <row r="1202" hidden="1"/>
    <row r="1203" hidden="1"/>
    <row r="1204" hidden="1"/>
    <row r="1205" hidden="1"/>
    <row r="1206" hidden="1"/>
    <row r="1207" hidden="1"/>
    <row r="1208" hidden="1"/>
    <row r="1209" hidden="1"/>
    <row r="1210" hidden="1"/>
    <row r="1211" hidden="1"/>
    <row r="1212" hidden="1"/>
    <row r="1213" hidden="1"/>
    <row r="1214" hidden="1"/>
    <row r="1215" hidden="1"/>
    <row r="1216" hidden="1"/>
    <row r="1217" hidden="1"/>
    <row r="1218" hidden="1"/>
    <row r="1219" hidden="1"/>
    <row r="1220" hidden="1"/>
    <row r="1221" hidden="1"/>
    <row r="1222" hidden="1"/>
    <row r="1223" hidden="1"/>
    <row r="1224" hidden="1"/>
    <row r="1225" hidden="1"/>
    <row r="1226" hidden="1"/>
    <row r="1227" hidden="1"/>
    <row r="1228" hidden="1"/>
    <row r="1229" hidden="1"/>
    <row r="1230" hidden="1"/>
    <row r="1231" hidden="1"/>
    <row r="1232" hidden="1"/>
    <row r="1233" hidden="1"/>
    <row r="1234" hidden="1"/>
    <row r="1235" hidden="1"/>
    <row r="1236" hidden="1"/>
    <row r="1237" hidden="1"/>
    <row r="1238" hidden="1"/>
    <row r="1239" hidden="1"/>
    <row r="1240" hidden="1"/>
    <row r="1241" hidden="1"/>
    <row r="1242" hidden="1"/>
    <row r="1243" hidden="1"/>
    <row r="1244" hidden="1"/>
    <row r="1245" hidden="1"/>
    <row r="1246" hidden="1"/>
    <row r="1247" hidden="1"/>
    <row r="1248" hidden="1"/>
    <row r="1249" hidden="1"/>
    <row r="1250" hidden="1"/>
    <row r="1251" hidden="1"/>
    <row r="1252" hidden="1"/>
    <row r="1253" hidden="1"/>
    <row r="1254" hidden="1"/>
    <row r="1255" hidden="1"/>
    <row r="1256" hidden="1"/>
    <row r="1257" hidden="1"/>
    <row r="1258" hidden="1"/>
    <row r="1259" hidden="1"/>
    <row r="1260" hidden="1"/>
    <row r="1261" hidden="1"/>
    <row r="1262" hidden="1"/>
    <row r="1263" hidden="1"/>
    <row r="1264" hidden="1"/>
    <row r="1265" hidden="1"/>
    <row r="1266" hidden="1"/>
    <row r="1267" hidden="1"/>
    <row r="1268" hidden="1"/>
    <row r="1269" hidden="1"/>
    <row r="1270" hidden="1"/>
    <row r="1271" hidden="1"/>
    <row r="1272" hidden="1"/>
    <row r="1273" hidden="1"/>
    <row r="1274" hidden="1"/>
    <row r="1275" hidden="1"/>
    <row r="1276" hidden="1"/>
    <row r="1277" hidden="1"/>
    <row r="1278" hidden="1"/>
    <row r="1279" hidden="1"/>
    <row r="1280" hidden="1"/>
    <row r="1281" hidden="1"/>
    <row r="1282" hidden="1"/>
    <row r="1283" hidden="1"/>
    <row r="1284" hidden="1"/>
    <row r="1285" hidden="1"/>
    <row r="1286" hidden="1"/>
    <row r="1287" hidden="1"/>
    <row r="1288" hidden="1"/>
    <row r="1289" hidden="1"/>
    <row r="1290" hidden="1"/>
    <row r="1291" hidden="1"/>
    <row r="1292" hidden="1"/>
    <row r="1293" hidden="1"/>
    <row r="1294" hidden="1"/>
    <row r="1295" hidden="1"/>
    <row r="1296" hidden="1"/>
    <row r="1297" hidden="1"/>
    <row r="1298" hidden="1"/>
    <row r="1299" hidden="1"/>
    <row r="1300" hidden="1"/>
    <row r="1301" hidden="1"/>
    <row r="1302" hidden="1"/>
    <row r="1303" hidden="1"/>
    <row r="1304" hidden="1"/>
    <row r="1305" hidden="1"/>
    <row r="1306" hidden="1"/>
    <row r="1307" hidden="1"/>
    <row r="1308" hidden="1"/>
    <row r="1309" hidden="1"/>
    <row r="1310" hidden="1"/>
    <row r="1311" hidden="1"/>
    <row r="1312" hidden="1"/>
    <row r="1313" hidden="1"/>
    <row r="1314" hidden="1"/>
    <row r="1315" hidden="1"/>
    <row r="1316" hidden="1"/>
    <row r="1317" hidden="1"/>
    <row r="1318" hidden="1"/>
    <row r="1319" hidden="1"/>
    <row r="1320" hidden="1"/>
    <row r="1321" hidden="1"/>
    <row r="1322" hidden="1"/>
    <row r="1323" hidden="1"/>
    <row r="1324" hidden="1"/>
    <row r="1325" hidden="1"/>
    <row r="1326" hidden="1"/>
    <row r="1327" hidden="1"/>
    <row r="1328" hidden="1"/>
    <row r="1329" hidden="1"/>
    <row r="1330" hidden="1"/>
    <row r="1331" hidden="1"/>
    <row r="1332" hidden="1"/>
    <row r="1333" hidden="1"/>
    <row r="1334" hidden="1"/>
    <row r="1335" hidden="1"/>
    <row r="1336" hidden="1"/>
    <row r="1337" hidden="1"/>
    <row r="1338" hidden="1"/>
    <row r="1339" hidden="1"/>
    <row r="1340" hidden="1"/>
    <row r="1341" hidden="1"/>
    <row r="1342" hidden="1"/>
    <row r="1343" hidden="1"/>
    <row r="1344" hidden="1"/>
    <row r="1345" hidden="1"/>
    <row r="1346" hidden="1"/>
    <row r="1347" hidden="1"/>
    <row r="1348" hidden="1"/>
    <row r="1349" hidden="1"/>
    <row r="1350" hidden="1"/>
    <row r="1351" hidden="1"/>
    <row r="1352" hidden="1"/>
    <row r="1353" hidden="1"/>
    <row r="1354" hidden="1"/>
    <row r="1355" hidden="1"/>
    <row r="1356" hidden="1"/>
    <row r="1357" hidden="1"/>
    <row r="1358" hidden="1"/>
    <row r="1359" hidden="1"/>
    <row r="1360" hidden="1"/>
    <row r="1361" hidden="1"/>
    <row r="1362" hidden="1"/>
    <row r="1363" hidden="1"/>
    <row r="1364" hidden="1"/>
    <row r="1365" hidden="1"/>
    <row r="1366" hidden="1"/>
    <row r="1367" hidden="1"/>
    <row r="1368" hidden="1"/>
    <row r="1369" hidden="1"/>
    <row r="1370" hidden="1"/>
    <row r="1371" hidden="1"/>
    <row r="1372" hidden="1"/>
    <row r="1373" hidden="1"/>
    <row r="1374" hidden="1"/>
    <row r="1375" hidden="1"/>
    <row r="1376" hidden="1"/>
    <row r="1377" hidden="1"/>
    <row r="1378" hidden="1"/>
    <row r="1379" hidden="1"/>
    <row r="1380" hidden="1"/>
    <row r="1381" hidden="1"/>
    <row r="1382" hidden="1"/>
    <row r="1383" hidden="1"/>
    <row r="1384" hidden="1"/>
    <row r="1385" hidden="1"/>
    <row r="1386" hidden="1"/>
    <row r="1387" hidden="1"/>
    <row r="1388" hidden="1"/>
    <row r="1389" hidden="1"/>
    <row r="1390" hidden="1"/>
    <row r="1391" hidden="1"/>
    <row r="1392" hidden="1"/>
    <row r="1393" hidden="1"/>
    <row r="1394" hidden="1"/>
    <row r="1395" hidden="1"/>
    <row r="1396" hidden="1"/>
    <row r="1397" hidden="1"/>
    <row r="1398" hidden="1"/>
    <row r="1399" hidden="1"/>
    <row r="1400" hidden="1"/>
    <row r="1401" hidden="1"/>
    <row r="1402" hidden="1"/>
    <row r="1403" hidden="1"/>
    <row r="1404" hidden="1"/>
    <row r="1405" hidden="1"/>
    <row r="1406" hidden="1"/>
    <row r="1407" hidden="1"/>
    <row r="1408" hidden="1"/>
    <row r="1409" hidden="1"/>
    <row r="1410" hidden="1"/>
    <row r="1411" hidden="1"/>
    <row r="1412" hidden="1"/>
    <row r="1413" hidden="1"/>
    <row r="1414" hidden="1"/>
    <row r="1415" hidden="1"/>
    <row r="1416" hidden="1"/>
    <row r="1417" hidden="1"/>
    <row r="1418" hidden="1"/>
    <row r="1419" hidden="1"/>
    <row r="1420" hidden="1"/>
    <row r="1421" hidden="1"/>
    <row r="1422" hidden="1"/>
    <row r="1423" hidden="1"/>
    <row r="1424" hidden="1"/>
    <row r="1425" hidden="1"/>
    <row r="1426" hidden="1"/>
    <row r="1427" hidden="1"/>
    <row r="1428" hidden="1"/>
    <row r="1429" hidden="1"/>
    <row r="1430" hidden="1"/>
    <row r="1431" hidden="1"/>
    <row r="1432" hidden="1"/>
    <row r="1433" hidden="1"/>
    <row r="1434" hidden="1"/>
    <row r="1435" hidden="1"/>
    <row r="1436" hidden="1"/>
    <row r="1437" hidden="1"/>
    <row r="1438" hidden="1"/>
    <row r="1439" hidden="1"/>
    <row r="1440" hidden="1"/>
    <row r="1441" hidden="1"/>
    <row r="1442" hidden="1"/>
    <row r="1443" hidden="1"/>
    <row r="1444" hidden="1"/>
    <row r="1445" hidden="1"/>
    <row r="1446" hidden="1"/>
    <row r="1447" hidden="1"/>
    <row r="1448" hidden="1"/>
    <row r="1449" hidden="1"/>
    <row r="1450" hidden="1"/>
    <row r="1451" hidden="1"/>
    <row r="1452" hidden="1"/>
    <row r="1453" hidden="1"/>
    <row r="1454" hidden="1"/>
    <row r="1455" hidden="1"/>
    <row r="1456" hidden="1"/>
    <row r="1457" hidden="1"/>
    <row r="1458" hidden="1"/>
    <row r="1459" hidden="1"/>
    <row r="1460" hidden="1"/>
    <row r="1461" hidden="1"/>
    <row r="1462" hidden="1"/>
    <row r="1463" hidden="1"/>
    <row r="1464" hidden="1"/>
    <row r="1465" hidden="1"/>
    <row r="1466" hidden="1"/>
    <row r="1467" hidden="1"/>
    <row r="1468" hidden="1"/>
    <row r="1469" hidden="1"/>
    <row r="1470" hidden="1"/>
    <row r="1471" hidden="1"/>
    <row r="1472" hidden="1"/>
    <row r="1473" hidden="1"/>
    <row r="1474" hidden="1"/>
    <row r="1475" hidden="1"/>
    <row r="1476" hidden="1"/>
    <row r="1477" hidden="1"/>
    <row r="1478" hidden="1"/>
    <row r="1479" hidden="1"/>
    <row r="1480" hidden="1"/>
    <row r="1481" hidden="1"/>
    <row r="1482" hidden="1"/>
    <row r="1483" hidden="1"/>
    <row r="1484" hidden="1"/>
    <row r="1485" hidden="1"/>
    <row r="1486" hidden="1"/>
    <row r="1487" hidden="1"/>
    <row r="1488" hidden="1"/>
    <row r="1489" hidden="1"/>
    <row r="1490" hidden="1"/>
    <row r="1491" hidden="1"/>
    <row r="1492" hidden="1"/>
    <row r="1493" hidden="1"/>
    <row r="1494" hidden="1"/>
    <row r="1495" hidden="1"/>
    <row r="1496" hidden="1"/>
    <row r="1497" hidden="1"/>
    <row r="1498" hidden="1"/>
    <row r="1499" hidden="1"/>
    <row r="1500" hidden="1"/>
    <row r="1501" hidden="1"/>
    <row r="1502" hidden="1"/>
    <row r="1503" hidden="1"/>
    <row r="1504" hidden="1"/>
    <row r="1505" hidden="1"/>
    <row r="1506" hidden="1"/>
    <row r="1507" hidden="1"/>
    <row r="1508" hidden="1"/>
    <row r="1509" hidden="1"/>
    <row r="1510" hidden="1"/>
    <row r="1511" hidden="1"/>
    <row r="1512" hidden="1"/>
    <row r="1513" hidden="1"/>
    <row r="1514" hidden="1"/>
    <row r="1515" hidden="1"/>
    <row r="1516" hidden="1"/>
    <row r="1517" hidden="1"/>
    <row r="1518" hidden="1"/>
    <row r="1519" hidden="1"/>
    <row r="1520" hidden="1"/>
    <row r="1521" hidden="1"/>
    <row r="1522" hidden="1"/>
    <row r="1523" hidden="1"/>
    <row r="1524" hidden="1"/>
    <row r="1525" hidden="1"/>
    <row r="1526" hidden="1"/>
    <row r="1527" hidden="1"/>
    <row r="1528" hidden="1"/>
    <row r="1529" hidden="1"/>
    <row r="1530" hidden="1"/>
    <row r="1531" hidden="1"/>
    <row r="1532" hidden="1"/>
    <row r="1533" hidden="1"/>
    <row r="1534" hidden="1"/>
    <row r="1535" hidden="1"/>
    <row r="1536" hidden="1"/>
    <row r="1537" hidden="1"/>
    <row r="1538" hidden="1"/>
    <row r="1539" hidden="1"/>
    <row r="1540" hidden="1"/>
    <row r="1541" hidden="1"/>
    <row r="1542" hidden="1"/>
    <row r="1543" hidden="1"/>
    <row r="1544" hidden="1"/>
    <row r="1545" hidden="1"/>
    <row r="1546" hidden="1"/>
    <row r="1547" hidden="1"/>
    <row r="1548" hidden="1"/>
    <row r="1549" hidden="1"/>
    <row r="1550" hidden="1"/>
    <row r="1551" hidden="1"/>
    <row r="1552" hidden="1"/>
    <row r="1553" hidden="1"/>
    <row r="1554" hidden="1"/>
    <row r="1555" hidden="1"/>
    <row r="1556" hidden="1"/>
    <row r="1557" hidden="1"/>
    <row r="1558" hidden="1"/>
    <row r="1559" hidden="1"/>
    <row r="1560" hidden="1"/>
    <row r="1561" hidden="1"/>
    <row r="1562" hidden="1"/>
    <row r="1563" hidden="1"/>
    <row r="1564" hidden="1"/>
    <row r="1565" hidden="1"/>
    <row r="1566" hidden="1"/>
    <row r="1567" hidden="1"/>
    <row r="1568" hidden="1"/>
    <row r="1569" hidden="1"/>
    <row r="1570" hidden="1"/>
    <row r="1571" hidden="1"/>
    <row r="1572" hidden="1"/>
    <row r="1573" hidden="1"/>
    <row r="1574" hidden="1"/>
    <row r="1575" hidden="1"/>
    <row r="1576" hidden="1"/>
    <row r="1577" hidden="1"/>
    <row r="1578" hidden="1"/>
    <row r="1579" hidden="1"/>
    <row r="1580" hidden="1"/>
    <row r="1581" hidden="1"/>
    <row r="1582" hidden="1"/>
    <row r="1583" hidden="1"/>
    <row r="1584" hidden="1"/>
    <row r="1585" hidden="1"/>
    <row r="1586" hidden="1"/>
    <row r="1587" hidden="1"/>
    <row r="1588" hidden="1"/>
    <row r="1589" hidden="1"/>
    <row r="1590" hidden="1"/>
    <row r="1591" hidden="1"/>
    <row r="1592" hidden="1"/>
    <row r="1593" hidden="1"/>
    <row r="1594" hidden="1"/>
    <row r="1595" hidden="1"/>
    <row r="1596" hidden="1"/>
    <row r="1597" hidden="1"/>
    <row r="1598" hidden="1"/>
    <row r="1599" hidden="1"/>
    <row r="1600" hidden="1"/>
    <row r="1601" hidden="1"/>
    <row r="1602" hidden="1"/>
    <row r="1603" hidden="1"/>
    <row r="1604" hidden="1"/>
    <row r="1605" hidden="1"/>
    <row r="1606" hidden="1"/>
    <row r="1607" hidden="1"/>
    <row r="1608" hidden="1"/>
    <row r="1609" hidden="1"/>
    <row r="1610" hidden="1"/>
    <row r="1611" hidden="1"/>
    <row r="1612" hidden="1"/>
    <row r="1613" hidden="1"/>
    <row r="1614" hidden="1"/>
    <row r="1615" hidden="1"/>
    <row r="1616" hidden="1"/>
    <row r="1617" hidden="1"/>
    <row r="1618" hidden="1"/>
    <row r="1619" hidden="1"/>
    <row r="1620" hidden="1"/>
    <row r="1621" hidden="1"/>
    <row r="1622" hidden="1"/>
    <row r="1623" hidden="1"/>
    <row r="1624" hidden="1"/>
    <row r="1625" hidden="1"/>
    <row r="1626" hidden="1"/>
    <row r="1627" hidden="1"/>
    <row r="1628" hidden="1"/>
    <row r="1629" hidden="1"/>
    <row r="1630" hidden="1"/>
    <row r="1631" hidden="1"/>
    <row r="1632" hidden="1"/>
    <row r="1633" hidden="1"/>
    <row r="1634" hidden="1"/>
    <row r="1635" hidden="1"/>
    <row r="1636" hidden="1"/>
    <row r="1637" hidden="1"/>
    <row r="1638" hidden="1"/>
    <row r="1639" hidden="1"/>
    <row r="1640" hidden="1"/>
    <row r="1641" hidden="1"/>
    <row r="1642" hidden="1"/>
    <row r="1643" hidden="1"/>
    <row r="1644" hidden="1"/>
    <row r="1645" hidden="1"/>
    <row r="1646" hidden="1"/>
    <row r="1647" hidden="1"/>
    <row r="1648" hidden="1"/>
    <row r="1649" hidden="1"/>
    <row r="1650" hidden="1"/>
    <row r="1651" hidden="1"/>
    <row r="1652" hidden="1"/>
    <row r="1653" hidden="1"/>
    <row r="1654" hidden="1"/>
    <row r="1655" hidden="1"/>
    <row r="1656" hidden="1"/>
    <row r="1657" hidden="1"/>
    <row r="1658" hidden="1"/>
    <row r="1659" hidden="1"/>
    <row r="1660" hidden="1"/>
    <row r="1661" hidden="1"/>
    <row r="1662" hidden="1"/>
    <row r="1663" hidden="1"/>
    <row r="1664" hidden="1"/>
    <row r="1665" hidden="1"/>
    <row r="1666" hidden="1"/>
    <row r="1667" hidden="1"/>
    <row r="1668" hidden="1"/>
    <row r="1669" hidden="1"/>
    <row r="1670" hidden="1"/>
    <row r="1671" hidden="1"/>
    <row r="1672" hidden="1"/>
    <row r="1673" hidden="1"/>
    <row r="1674" hidden="1"/>
    <row r="1675" hidden="1"/>
    <row r="1676" hidden="1"/>
    <row r="1677" hidden="1"/>
    <row r="1678" hidden="1"/>
    <row r="1679" hidden="1"/>
    <row r="1680" hidden="1"/>
    <row r="1681" hidden="1"/>
    <row r="1682" hidden="1"/>
    <row r="1683" hidden="1"/>
    <row r="1684" hidden="1"/>
    <row r="1685" hidden="1"/>
    <row r="1686" hidden="1"/>
    <row r="1687" hidden="1"/>
    <row r="1688" hidden="1"/>
    <row r="1689" hidden="1"/>
    <row r="1690" hidden="1"/>
    <row r="1691" hidden="1"/>
    <row r="1692" hidden="1"/>
    <row r="1693" hidden="1"/>
    <row r="1694" hidden="1"/>
    <row r="1695" hidden="1"/>
    <row r="1696" hidden="1"/>
    <row r="1697" hidden="1"/>
    <row r="1698" hidden="1"/>
    <row r="1699" hidden="1"/>
    <row r="1700" hidden="1"/>
    <row r="1701" hidden="1"/>
    <row r="1702" hidden="1"/>
    <row r="1703" hidden="1"/>
    <row r="1704" hidden="1"/>
    <row r="1705" hidden="1"/>
    <row r="1706" hidden="1"/>
    <row r="1707" hidden="1"/>
    <row r="1708" hidden="1"/>
    <row r="1709" hidden="1"/>
    <row r="1710" hidden="1"/>
    <row r="1711" hidden="1"/>
    <row r="1712" hidden="1"/>
    <row r="1713" hidden="1"/>
    <row r="1714" hidden="1"/>
    <row r="1715" hidden="1"/>
    <row r="1716" hidden="1"/>
    <row r="1717" hidden="1"/>
    <row r="1718" hidden="1"/>
    <row r="1719" hidden="1"/>
    <row r="1720" hidden="1"/>
    <row r="1721" hidden="1"/>
    <row r="1722" hidden="1"/>
    <row r="1723" hidden="1"/>
    <row r="1724" hidden="1"/>
    <row r="1725" hidden="1"/>
    <row r="1726" hidden="1"/>
    <row r="1727" hidden="1"/>
    <row r="1728" hidden="1"/>
    <row r="1729" hidden="1"/>
    <row r="1730" hidden="1"/>
    <row r="1731" hidden="1"/>
    <row r="1732" hidden="1"/>
    <row r="1733" hidden="1"/>
    <row r="1734" hidden="1"/>
    <row r="1735" hidden="1"/>
    <row r="1736" hidden="1"/>
    <row r="1737" hidden="1"/>
    <row r="1738" hidden="1"/>
    <row r="1739" hidden="1"/>
    <row r="1740" hidden="1"/>
    <row r="1741" hidden="1"/>
    <row r="1742" hidden="1"/>
    <row r="1743" hidden="1"/>
    <row r="1744" hidden="1"/>
    <row r="1745" hidden="1"/>
    <row r="1746" hidden="1"/>
    <row r="1747" hidden="1"/>
    <row r="1748" hidden="1"/>
    <row r="1749" hidden="1"/>
    <row r="1750" hidden="1"/>
    <row r="1751" hidden="1"/>
    <row r="1752" hidden="1"/>
    <row r="1753" hidden="1"/>
    <row r="1754" hidden="1"/>
    <row r="1755" hidden="1"/>
    <row r="1756" hidden="1"/>
    <row r="1757" hidden="1"/>
    <row r="1758" hidden="1"/>
    <row r="1759" hidden="1"/>
    <row r="1760" hidden="1"/>
    <row r="1761" hidden="1"/>
    <row r="1762" hidden="1"/>
    <row r="1763" hidden="1"/>
    <row r="1764" hidden="1"/>
    <row r="1765" hidden="1"/>
    <row r="1766" hidden="1"/>
    <row r="1767" hidden="1"/>
    <row r="1768" hidden="1"/>
    <row r="1769" hidden="1"/>
    <row r="1770" hidden="1"/>
    <row r="1771" hidden="1"/>
    <row r="1772" hidden="1"/>
    <row r="1773" hidden="1"/>
    <row r="1774" hidden="1"/>
    <row r="1775" hidden="1"/>
    <row r="1776" hidden="1"/>
    <row r="1777" hidden="1"/>
    <row r="1778" hidden="1"/>
    <row r="1779" hidden="1"/>
    <row r="1780" hidden="1"/>
    <row r="1781" hidden="1"/>
    <row r="1782" hidden="1"/>
    <row r="1783" hidden="1"/>
    <row r="1784" hidden="1"/>
    <row r="1785" hidden="1"/>
    <row r="1786" hidden="1"/>
    <row r="1787" hidden="1"/>
    <row r="1788" hidden="1"/>
    <row r="1789" hidden="1"/>
    <row r="1790" hidden="1"/>
    <row r="1791" hidden="1"/>
    <row r="1792" hidden="1"/>
    <row r="1793" hidden="1"/>
    <row r="1794" hidden="1"/>
    <row r="1795" hidden="1"/>
    <row r="1796" hidden="1"/>
    <row r="1797" hidden="1"/>
    <row r="1798" hidden="1"/>
    <row r="1799" hidden="1"/>
    <row r="1800" hidden="1"/>
    <row r="1801" hidden="1"/>
    <row r="1802" hidden="1"/>
    <row r="1803" hidden="1"/>
    <row r="1804" hidden="1"/>
    <row r="1805" hidden="1"/>
    <row r="1806" hidden="1"/>
    <row r="1807" hidden="1"/>
    <row r="1808" hidden="1"/>
    <row r="1809" hidden="1"/>
    <row r="1810" hidden="1"/>
    <row r="1811" hidden="1"/>
    <row r="1812" hidden="1"/>
    <row r="1813" hidden="1"/>
    <row r="1814" hidden="1"/>
    <row r="1815" hidden="1"/>
    <row r="1816" hidden="1"/>
    <row r="1817" hidden="1"/>
    <row r="1818" hidden="1"/>
    <row r="1819" hidden="1"/>
    <row r="1820" hidden="1"/>
    <row r="1821" hidden="1"/>
    <row r="1822" hidden="1"/>
    <row r="1823" hidden="1"/>
    <row r="1824" hidden="1"/>
    <row r="1825" hidden="1"/>
    <row r="1826" hidden="1"/>
    <row r="1827" hidden="1"/>
    <row r="1828" hidden="1"/>
    <row r="1829" hidden="1"/>
    <row r="1830" hidden="1"/>
    <row r="1831" hidden="1"/>
    <row r="1832" hidden="1"/>
    <row r="1833" hidden="1"/>
    <row r="1834" hidden="1"/>
    <row r="1835" hidden="1"/>
    <row r="1836" hidden="1"/>
    <row r="1837" hidden="1"/>
    <row r="1838" hidden="1"/>
    <row r="1839" hidden="1"/>
    <row r="1840" hidden="1"/>
    <row r="1841" hidden="1"/>
    <row r="1842" hidden="1"/>
    <row r="1843" hidden="1"/>
    <row r="1844" hidden="1"/>
    <row r="1845" hidden="1"/>
    <row r="1846" hidden="1"/>
    <row r="1847" hidden="1"/>
    <row r="1848" hidden="1"/>
    <row r="1849" hidden="1"/>
    <row r="1850" hidden="1"/>
    <row r="1851" hidden="1"/>
    <row r="1852" hidden="1"/>
    <row r="1853" hidden="1"/>
    <row r="1854" hidden="1"/>
    <row r="1855" hidden="1"/>
    <row r="1856" hidden="1"/>
    <row r="1857" hidden="1"/>
    <row r="1858" hidden="1"/>
    <row r="1859" hidden="1"/>
    <row r="1860" hidden="1"/>
    <row r="1861" hidden="1"/>
    <row r="1862" hidden="1"/>
    <row r="1863" hidden="1"/>
    <row r="1864" hidden="1"/>
    <row r="1865" hidden="1"/>
    <row r="1866" hidden="1"/>
    <row r="1867" hidden="1"/>
    <row r="1868" hidden="1"/>
    <row r="1869" hidden="1"/>
    <row r="1870" hidden="1"/>
    <row r="1871" hidden="1"/>
    <row r="1872" hidden="1"/>
    <row r="1873" hidden="1"/>
    <row r="1874" hidden="1"/>
    <row r="1875" hidden="1"/>
    <row r="1876" hidden="1"/>
    <row r="1877" hidden="1"/>
    <row r="1878" hidden="1"/>
    <row r="1879" hidden="1"/>
    <row r="1880" hidden="1"/>
    <row r="1881" hidden="1"/>
    <row r="1882" hidden="1"/>
    <row r="1883" hidden="1"/>
    <row r="1884" hidden="1"/>
    <row r="1885" hidden="1"/>
    <row r="1886" hidden="1"/>
    <row r="1887" hidden="1"/>
    <row r="1888" hidden="1"/>
    <row r="1889" hidden="1"/>
    <row r="1890" hidden="1"/>
    <row r="1891" hidden="1"/>
    <row r="1892" hidden="1"/>
    <row r="1893" hidden="1"/>
    <row r="1894" hidden="1"/>
    <row r="1895" hidden="1"/>
    <row r="1896" hidden="1"/>
    <row r="1897" hidden="1"/>
    <row r="1898" hidden="1"/>
    <row r="1899" hidden="1"/>
    <row r="1900" hidden="1"/>
    <row r="1901" hidden="1"/>
    <row r="1902" hidden="1"/>
    <row r="1903" hidden="1"/>
    <row r="1904" hidden="1"/>
    <row r="1905" hidden="1"/>
    <row r="1906" hidden="1"/>
    <row r="1907" hidden="1"/>
    <row r="1908" hidden="1"/>
    <row r="1909" hidden="1"/>
    <row r="1910" hidden="1"/>
    <row r="1911" hidden="1"/>
    <row r="1912" hidden="1"/>
    <row r="1913" hidden="1"/>
    <row r="1914" hidden="1"/>
    <row r="1915" hidden="1"/>
    <row r="1916" hidden="1"/>
    <row r="1917" hidden="1"/>
    <row r="1918" hidden="1"/>
    <row r="1919" hidden="1"/>
    <row r="1920" hidden="1"/>
    <row r="1921" hidden="1"/>
    <row r="1922" hidden="1"/>
    <row r="1923" hidden="1"/>
    <row r="1924" hidden="1"/>
    <row r="1925" hidden="1"/>
    <row r="1926" hidden="1"/>
    <row r="1927" hidden="1"/>
    <row r="1928" hidden="1"/>
    <row r="1929" hidden="1"/>
    <row r="1930" hidden="1"/>
    <row r="1931" hidden="1"/>
    <row r="1932" hidden="1"/>
    <row r="1933" hidden="1"/>
    <row r="1934" hidden="1"/>
    <row r="1935" hidden="1"/>
    <row r="1936" hidden="1"/>
    <row r="1937" hidden="1"/>
    <row r="1938" hidden="1"/>
    <row r="1939" hidden="1"/>
    <row r="1940" hidden="1"/>
    <row r="1941" hidden="1"/>
    <row r="1942" hidden="1"/>
    <row r="1943" hidden="1"/>
    <row r="1944" hidden="1"/>
    <row r="1945" hidden="1"/>
    <row r="1946" hidden="1"/>
    <row r="1947" hidden="1"/>
    <row r="1948" hidden="1"/>
    <row r="1949" hidden="1"/>
    <row r="1950" hidden="1"/>
    <row r="1951" hidden="1"/>
    <row r="1952" hidden="1"/>
    <row r="1953" hidden="1"/>
    <row r="1954" hidden="1"/>
    <row r="1955" hidden="1"/>
    <row r="1956" hidden="1"/>
    <row r="1957" hidden="1"/>
    <row r="1958" hidden="1"/>
    <row r="1959" hidden="1"/>
    <row r="1960" hidden="1"/>
    <row r="1961" hidden="1"/>
    <row r="1962" hidden="1"/>
    <row r="1963" hidden="1"/>
    <row r="1964" hidden="1"/>
    <row r="1965" hidden="1"/>
    <row r="1966" hidden="1"/>
    <row r="1967" hidden="1"/>
    <row r="1968" hidden="1"/>
    <row r="1969" hidden="1"/>
    <row r="1970" hidden="1"/>
    <row r="1971" hidden="1"/>
    <row r="1972" hidden="1"/>
    <row r="1973" hidden="1"/>
    <row r="1974" hidden="1"/>
    <row r="1975" hidden="1"/>
    <row r="1976" hidden="1"/>
    <row r="1977" hidden="1"/>
    <row r="1978" hidden="1"/>
    <row r="1979" hidden="1"/>
    <row r="1980" hidden="1"/>
    <row r="1981" hidden="1"/>
    <row r="1982" hidden="1"/>
    <row r="1983" hidden="1"/>
    <row r="1984" hidden="1"/>
    <row r="1985" hidden="1"/>
    <row r="1986" hidden="1"/>
    <row r="1987" hidden="1"/>
    <row r="1988" hidden="1"/>
    <row r="1989" hidden="1"/>
    <row r="1990" hidden="1"/>
    <row r="1991" hidden="1"/>
    <row r="1992" hidden="1"/>
    <row r="1993" hidden="1"/>
    <row r="1994" hidden="1"/>
    <row r="1995" hidden="1"/>
    <row r="1996" hidden="1"/>
    <row r="1997" hidden="1"/>
    <row r="1998" hidden="1"/>
    <row r="1999" hidden="1"/>
    <row r="2000" hidden="1"/>
    <row r="2001" hidden="1"/>
    <row r="2002" hidden="1"/>
    <row r="2003" hidden="1"/>
    <row r="2004" hidden="1"/>
    <row r="2005" hidden="1"/>
    <row r="2006" hidden="1"/>
    <row r="2007" hidden="1"/>
    <row r="2008" hidden="1"/>
    <row r="2009" hidden="1"/>
    <row r="2010" hidden="1"/>
    <row r="2011" hidden="1"/>
    <row r="2012" hidden="1"/>
    <row r="2013" hidden="1"/>
    <row r="2014" hidden="1"/>
    <row r="2015" hidden="1"/>
    <row r="2016" hidden="1"/>
    <row r="2017" hidden="1"/>
    <row r="2018" hidden="1"/>
    <row r="2019" hidden="1"/>
    <row r="2020" hidden="1"/>
    <row r="2021" hidden="1"/>
    <row r="2022" hidden="1"/>
    <row r="2023" hidden="1"/>
    <row r="2024" hidden="1"/>
    <row r="2025" hidden="1"/>
    <row r="2026" hidden="1"/>
    <row r="2027" hidden="1"/>
    <row r="2028" hidden="1"/>
    <row r="2029" hidden="1"/>
    <row r="2030" hidden="1"/>
    <row r="2031" hidden="1"/>
    <row r="2032" hidden="1"/>
    <row r="2033" hidden="1"/>
    <row r="2034" hidden="1"/>
    <row r="2035" hidden="1"/>
    <row r="2036" hidden="1"/>
    <row r="2037" hidden="1"/>
    <row r="2038" hidden="1"/>
    <row r="2039" hidden="1"/>
    <row r="2040" hidden="1"/>
    <row r="2041" hidden="1"/>
    <row r="2042" hidden="1"/>
    <row r="2043" hidden="1"/>
    <row r="2044" hidden="1"/>
    <row r="2045" hidden="1"/>
    <row r="2046" hidden="1"/>
    <row r="2047" hidden="1"/>
    <row r="2048" hidden="1"/>
    <row r="2049" hidden="1"/>
    <row r="2050" hidden="1"/>
    <row r="2051" hidden="1"/>
    <row r="2052" hidden="1"/>
    <row r="2053" hidden="1"/>
    <row r="2054" hidden="1"/>
    <row r="2055" hidden="1"/>
    <row r="2056" hidden="1"/>
    <row r="2057" hidden="1"/>
    <row r="2058" hidden="1"/>
    <row r="2059" hidden="1"/>
    <row r="2060" hidden="1"/>
    <row r="2061" hidden="1"/>
    <row r="2062" hidden="1"/>
    <row r="2063" hidden="1"/>
    <row r="2064" hidden="1"/>
    <row r="2065" hidden="1"/>
    <row r="2066" hidden="1"/>
    <row r="2067" hidden="1"/>
    <row r="2068" hidden="1"/>
    <row r="2069" hidden="1"/>
    <row r="2070" hidden="1"/>
    <row r="2071" hidden="1"/>
    <row r="2072" hidden="1"/>
    <row r="2073" hidden="1"/>
    <row r="2074" hidden="1"/>
    <row r="2075" hidden="1"/>
    <row r="2076" hidden="1"/>
    <row r="2077" hidden="1"/>
    <row r="2078" hidden="1"/>
    <row r="2079" hidden="1"/>
    <row r="2080" hidden="1"/>
    <row r="2081" hidden="1"/>
    <row r="2082" hidden="1"/>
    <row r="2083" hidden="1"/>
    <row r="2084" hidden="1"/>
    <row r="2085" hidden="1"/>
    <row r="2086" hidden="1"/>
    <row r="2087" hidden="1"/>
    <row r="2088" hidden="1"/>
    <row r="2089" hidden="1"/>
    <row r="2090" hidden="1"/>
    <row r="2091" hidden="1"/>
    <row r="2092" hidden="1"/>
    <row r="2093" hidden="1"/>
    <row r="2094" hidden="1"/>
    <row r="2095" hidden="1"/>
    <row r="2096" hidden="1"/>
    <row r="2097" hidden="1"/>
    <row r="2098" hidden="1"/>
    <row r="2099"/>
    <row r="2100"/>
    <row r="2101"/>
    <row r="2102"/>
    <row r="2103"/>
    <row r="2104"/>
    <row r="2105"/>
    <row r="2106"/>
    <row r="2107"/>
    <row r="2108"/>
    <row r="2109"/>
    <row r="2110"/>
    <row r="2111"/>
    <row r="2112"/>
  </sheetData>
  <mergeCells count="8">
    <mergeCell ref="M218:M219"/>
    <mergeCell ref="G477:G478"/>
    <mergeCell ref="D473:G473"/>
    <mergeCell ref="D412:D413"/>
    <mergeCell ref="D450:D451"/>
    <mergeCell ref="D477:D478"/>
    <mergeCell ref="E477:E478"/>
    <mergeCell ref="F477:F478"/>
  </mergeCells>
  <conditionalFormatting sqref="D501:J501">
    <cfRule type="containsText" dxfId="27" priority="1" operator="containsText" text="Inconsistent">
      <formula>NOT(ISERROR(SEARCH("Inconsistent",D501)))</formula>
    </cfRule>
    <cfRule type="containsText" dxfId="26" priority="2" operator="containsText" text="Consistent">
      <formula>NOT(ISERROR(SEARCH("Consistent",D501)))</formula>
    </cfRule>
  </conditionalFormatting>
  <pageMargins left="0.7" right="0.7" top="0.75" bottom="0.75" header="0.3" footer="0.3"/>
  <pageSetup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U436"/>
  <sheetViews>
    <sheetView showGridLines="0" topLeftCell="A316" zoomScale="85" zoomScaleNormal="85" workbookViewId="0">
      <pane xSplit="2" topLeftCell="C1" activePane="topRight" state="frozen"/>
      <selection pane="topRight" activeCell="H321" sqref="H321"/>
    </sheetView>
  </sheetViews>
  <sheetFormatPr defaultColWidth="0" defaultRowHeight="14.4" zeroHeight="1"/>
  <cols>
    <col min="1" max="1" width="8.88671875" customWidth="1"/>
    <col min="2" max="2" width="23" customWidth="1"/>
    <col min="3" max="4" width="20.6640625" customWidth="1"/>
    <col min="5" max="5" width="21.88671875" style="462" customWidth="1"/>
    <col min="6" max="156" width="19.44140625" customWidth="1"/>
    <col min="157" max="157" width="8.88671875" style="67" customWidth="1"/>
    <col min="158" max="16384" width="8.88671875" style="67" hidden="1"/>
  </cols>
  <sheetData>
    <row r="1" spans="1:157"/>
    <row r="2" spans="1:157"/>
    <row r="3" spans="1:157">
      <c r="B3" t="s">
        <v>802</v>
      </c>
      <c r="D3" t="s">
        <v>801</v>
      </c>
      <c r="I3" t="s">
        <v>831</v>
      </c>
    </row>
    <row r="4" spans="1:157">
      <c r="B4" s="541" t="s">
        <v>792</v>
      </c>
      <c r="C4" s="541" t="s">
        <v>783</v>
      </c>
      <c r="D4" s="541" t="s">
        <v>782</v>
      </c>
      <c r="E4" s="541" t="s">
        <v>201</v>
      </c>
      <c r="I4" s="541" t="s">
        <v>792</v>
      </c>
      <c r="J4" s="616">
        <v>2013</v>
      </c>
      <c r="K4" s="616">
        <v>2014</v>
      </c>
      <c r="L4" s="616">
        <v>2015</v>
      </c>
      <c r="M4" s="616">
        <v>2016</v>
      </c>
      <c r="N4" s="616" t="s">
        <v>102</v>
      </c>
      <c r="O4" s="617" t="s">
        <v>66</v>
      </c>
      <c r="FA4"/>
    </row>
    <row r="5" spans="1:157" ht="20.399999999999999">
      <c r="A5">
        <v>1</v>
      </c>
      <c r="B5" s="596" t="s">
        <v>816</v>
      </c>
      <c r="C5" s="532">
        <v>1500</v>
      </c>
      <c r="D5" s="528">
        <v>1500</v>
      </c>
      <c r="E5" s="513" t="s">
        <v>815</v>
      </c>
      <c r="H5" s="291"/>
      <c r="I5" s="597" t="s">
        <v>816</v>
      </c>
      <c r="J5" s="532">
        <v>0</v>
      </c>
      <c r="K5" s="532">
        <v>0</v>
      </c>
      <c r="L5" s="532">
        <v>0</v>
      </c>
      <c r="M5" s="532">
        <v>1500</v>
      </c>
      <c r="N5" s="532">
        <f t="shared" ref="N5:N36" si="0">SUM(J5:M5)</f>
        <v>1500</v>
      </c>
      <c r="O5" s="532">
        <v>1500</v>
      </c>
      <c r="FA5"/>
    </row>
    <row r="6" spans="1:157" ht="36">
      <c r="A6">
        <v>2</v>
      </c>
      <c r="B6" s="597" t="s">
        <v>827</v>
      </c>
      <c r="C6" s="499">
        <v>36575000</v>
      </c>
      <c r="D6" s="499">
        <v>43943770</v>
      </c>
      <c r="E6" s="510" t="s">
        <v>826</v>
      </c>
      <c r="H6" s="291"/>
      <c r="I6" s="597" t="s">
        <v>827</v>
      </c>
      <c r="J6" s="532">
        <v>0</v>
      </c>
      <c r="K6" s="532">
        <v>2555000</v>
      </c>
      <c r="L6" s="532">
        <v>17512000</v>
      </c>
      <c r="M6" s="532">
        <v>16508000</v>
      </c>
      <c r="N6" s="532">
        <f t="shared" si="0"/>
        <v>36575000</v>
      </c>
      <c r="O6" s="532">
        <v>36575000</v>
      </c>
      <c r="FA6"/>
    </row>
    <row r="7" spans="1:157" ht="24">
      <c r="A7">
        <v>3</v>
      </c>
      <c r="B7" s="597" t="s">
        <v>825</v>
      </c>
      <c r="C7" s="499">
        <v>4442870</v>
      </c>
      <c r="D7" s="499">
        <v>4442870</v>
      </c>
      <c r="E7" s="510" t="s">
        <v>824</v>
      </c>
      <c r="H7" s="291"/>
      <c r="I7" s="597" t="s">
        <v>825</v>
      </c>
      <c r="J7" s="532">
        <v>1156120</v>
      </c>
      <c r="K7" s="532">
        <v>2492320</v>
      </c>
      <c r="L7" s="532">
        <v>732110</v>
      </c>
      <c r="M7" s="532">
        <v>62320</v>
      </c>
      <c r="N7" s="532">
        <f t="shared" si="0"/>
        <v>4442870</v>
      </c>
      <c r="O7" s="532">
        <v>3286750</v>
      </c>
      <c r="FA7"/>
    </row>
    <row r="8" spans="1:157" ht="24">
      <c r="A8">
        <v>4</v>
      </c>
      <c r="B8" s="597" t="s">
        <v>823</v>
      </c>
      <c r="C8" s="499">
        <v>774500</v>
      </c>
      <c r="D8" s="499">
        <v>774500</v>
      </c>
      <c r="E8" s="510" t="s">
        <v>822</v>
      </c>
      <c r="H8" s="291"/>
      <c r="I8" s="597" t="s">
        <v>823</v>
      </c>
      <c r="J8" s="532">
        <v>624500</v>
      </c>
      <c r="K8" s="532">
        <v>150000</v>
      </c>
      <c r="L8" s="532">
        <v>0</v>
      </c>
      <c r="M8" s="532">
        <v>0</v>
      </c>
      <c r="N8" s="532">
        <f t="shared" si="0"/>
        <v>774500</v>
      </c>
      <c r="O8" s="532">
        <v>150000</v>
      </c>
      <c r="FA8"/>
    </row>
    <row r="9" spans="1:157" ht="24">
      <c r="A9">
        <v>5</v>
      </c>
      <c r="B9" s="597" t="s">
        <v>821</v>
      </c>
      <c r="C9" s="499">
        <v>1490340</v>
      </c>
      <c r="D9" s="499">
        <v>1490340</v>
      </c>
      <c r="E9" s="510" t="s">
        <v>820</v>
      </c>
      <c r="H9" s="291"/>
      <c r="I9" s="597" t="s">
        <v>821</v>
      </c>
      <c r="J9" s="532">
        <v>483250</v>
      </c>
      <c r="K9" s="532">
        <v>614090</v>
      </c>
      <c r="L9" s="532">
        <v>393000</v>
      </c>
      <c r="M9" s="532">
        <v>0</v>
      </c>
      <c r="N9" s="532">
        <f t="shared" si="0"/>
        <v>1490340</v>
      </c>
      <c r="O9" s="532">
        <v>1007090</v>
      </c>
      <c r="FA9"/>
    </row>
    <row r="10" spans="1:157" ht="31.2" thickBot="1">
      <c r="A10">
        <v>6</v>
      </c>
      <c r="B10" s="599" t="s">
        <v>819</v>
      </c>
      <c r="C10" s="600">
        <v>487000</v>
      </c>
      <c r="D10" s="600">
        <v>487000</v>
      </c>
      <c r="E10" s="601" t="s">
        <v>817</v>
      </c>
      <c r="H10" s="291"/>
      <c r="I10" s="597" t="s">
        <v>819</v>
      </c>
      <c r="J10" s="532">
        <v>0</v>
      </c>
      <c r="K10" s="532">
        <v>129000</v>
      </c>
      <c r="L10" s="532">
        <v>357000</v>
      </c>
      <c r="M10" s="532">
        <v>1000</v>
      </c>
      <c r="N10" s="532">
        <f t="shared" si="0"/>
        <v>487000</v>
      </c>
      <c r="O10" s="532">
        <v>487000</v>
      </c>
      <c r="FA10"/>
    </row>
    <row r="11" spans="1:157" ht="41.4" thickTop="1">
      <c r="A11">
        <v>7</v>
      </c>
      <c r="B11" s="602" t="s">
        <v>140</v>
      </c>
      <c r="C11" s="603">
        <v>150000</v>
      </c>
      <c r="D11" s="603">
        <v>1463559</v>
      </c>
      <c r="E11" s="604" t="s">
        <v>135</v>
      </c>
      <c r="H11" s="291"/>
      <c r="I11" s="533" t="s">
        <v>140</v>
      </c>
      <c r="J11" s="532">
        <v>0</v>
      </c>
      <c r="K11" s="532">
        <v>0</v>
      </c>
      <c r="L11" s="532">
        <v>0</v>
      </c>
      <c r="M11" s="532">
        <v>150000</v>
      </c>
      <c r="N11" s="532">
        <f t="shared" si="0"/>
        <v>150000</v>
      </c>
      <c r="O11" s="532">
        <v>150000</v>
      </c>
      <c r="FA11"/>
    </row>
    <row r="12" spans="1:157" ht="20.399999999999999">
      <c r="A12">
        <v>8</v>
      </c>
      <c r="B12" s="533" t="s">
        <v>143</v>
      </c>
      <c r="C12" s="499">
        <v>136140</v>
      </c>
      <c r="D12" s="499">
        <v>2722818</v>
      </c>
      <c r="E12" s="509" t="s">
        <v>115</v>
      </c>
      <c r="H12" s="291"/>
      <c r="I12" s="533" t="s">
        <v>143</v>
      </c>
      <c r="J12" s="532">
        <v>0</v>
      </c>
      <c r="K12" s="532">
        <v>0</v>
      </c>
      <c r="L12" s="532">
        <v>0</v>
      </c>
      <c r="M12" s="532">
        <v>136140</v>
      </c>
      <c r="N12" s="532">
        <f t="shared" si="0"/>
        <v>136140</v>
      </c>
      <c r="O12" s="532">
        <v>136140</v>
      </c>
      <c r="FA12"/>
    </row>
    <row r="13" spans="1:157" ht="91.8">
      <c r="A13">
        <v>9</v>
      </c>
      <c r="B13" s="533" t="s">
        <v>114</v>
      </c>
      <c r="C13" s="499">
        <v>486250</v>
      </c>
      <c r="D13" s="499">
        <v>486250</v>
      </c>
      <c r="E13" s="509" t="s">
        <v>115</v>
      </c>
      <c r="H13" s="291"/>
      <c r="I13" s="533" t="s">
        <v>114</v>
      </c>
      <c r="J13" s="532">
        <v>286029</v>
      </c>
      <c r="K13" s="532">
        <v>0</v>
      </c>
      <c r="L13" s="532">
        <v>200221</v>
      </c>
      <c r="M13" s="532">
        <v>0</v>
      </c>
      <c r="N13" s="532">
        <f t="shared" si="0"/>
        <v>486250</v>
      </c>
      <c r="O13" s="532">
        <v>200221</v>
      </c>
      <c r="FA13"/>
    </row>
    <row r="14" spans="1:157" ht="20.399999999999999">
      <c r="A14">
        <v>10</v>
      </c>
      <c r="B14" s="536" t="s">
        <v>652</v>
      </c>
      <c r="C14" s="532">
        <v>2468</v>
      </c>
      <c r="D14" s="528">
        <v>2468</v>
      </c>
      <c r="E14" s="504" t="s">
        <v>632</v>
      </c>
      <c r="H14" s="291"/>
      <c r="I14" s="534" t="s">
        <v>652</v>
      </c>
      <c r="J14" s="532">
        <v>402</v>
      </c>
      <c r="K14" s="532">
        <v>659</v>
      </c>
      <c r="L14" s="532">
        <v>1407</v>
      </c>
      <c r="M14" s="532">
        <v>0</v>
      </c>
      <c r="N14" s="532">
        <f t="shared" si="0"/>
        <v>2468</v>
      </c>
      <c r="O14" s="532">
        <v>2066</v>
      </c>
      <c r="FA14"/>
    </row>
    <row r="15" spans="1:157" ht="24">
      <c r="A15">
        <v>11</v>
      </c>
      <c r="B15" s="538" t="s">
        <v>713</v>
      </c>
      <c r="C15" s="532">
        <v>3272811</v>
      </c>
      <c r="D15" s="528">
        <v>3272811</v>
      </c>
      <c r="E15" s="504" t="s">
        <v>712</v>
      </c>
      <c r="H15" s="291"/>
      <c r="I15" s="536" t="s">
        <v>713</v>
      </c>
      <c r="J15" s="532">
        <v>1829390</v>
      </c>
      <c r="K15" s="532">
        <v>1443421</v>
      </c>
      <c r="L15" s="532">
        <v>0</v>
      </c>
      <c r="M15" s="532">
        <v>0</v>
      </c>
      <c r="N15" s="532">
        <f t="shared" si="0"/>
        <v>3272811</v>
      </c>
      <c r="O15" s="532">
        <v>1443421</v>
      </c>
      <c r="FA15"/>
    </row>
    <row r="16" spans="1:157" ht="36">
      <c r="A16">
        <v>12</v>
      </c>
      <c r="B16" s="538" t="s">
        <v>715</v>
      </c>
      <c r="C16" s="532">
        <v>276667</v>
      </c>
      <c r="D16" s="528">
        <v>276667</v>
      </c>
      <c r="E16" s="504" t="s">
        <v>714</v>
      </c>
      <c r="H16" s="291"/>
      <c r="I16" s="536" t="s">
        <v>715</v>
      </c>
      <c r="J16" s="532">
        <v>276667</v>
      </c>
      <c r="K16" s="532">
        <v>0</v>
      </c>
      <c r="L16" s="532">
        <v>0</v>
      </c>
      <c r="M16" s="532">
        <v>0</v>
      </c>
      <c r="N16" s="532">
        <f t="shared" si="0"/>
        <v>276667</v>
      </c>
      <c r="O16" s="532">
        <v>0</v>
      </c>
      <c r="FA16"/>
    </row>
    <row r="17" spans="1:157" ht="20.399999999999999">
      <c r="A17">
        <v>13</v>
      </c>
      <c r="B17" s="536" t="s">
        <v>655</v>
      </c>
      <c r="C17" s="532">
        <v>160613</v>
      </c>
      <c r="D17" s="528">
        <v>160613</v>
      </c>
      <c r="E17" s="504" t="s">
        <v>632</v>
      </c>
      <c r="H17" s="291"/>
      <c r="I17" s="536" t="s">
        <v>655</v>
      </c>
      <c r="J17" s="532">
        <v>77470</v>
      </c>
      <c r="K17" s="532">
        <v>19869</v>
      </c>
      <c r="L17" s="532">
        <v>3274</v>
      </c>
      <c r="M17" s="532">
        <v>60000</v>
      </c>
      <c r="N17" s="532">
        <f t="shared" si="0"/>
        <v>160613</v>
      </c>
      <c r="O17" s="532">
        <v>83143</v>
      </c>
      <c r="FA17"/>
    </row>
    <row r="18" spans="1:157" ht="30.6">
      <c r="A18">
        <v>14</v>
      </c>
      <c r="B18" s="536" t="s">
        <v>656</v>
      </c>
      <c r="C18" s="532">
        <v>206620</v>
      </c>
      <c r="D18" s="528">
        <v>206620</v>
      </c>
      <c r="E18" s="504" t="s">
        <v>632</v>
      </c>
      <c r="H18" s="291"/>
      <c r="I18" s="536" t="s">
        <v>656</v>
      </c>
      <c r="J18" s="532">
        <v>163947</v>
      </c>
      <c r="K18" s="532">
        <v>20947</v>
      </c>
      <c r="L18" s="532">
        <v>21726</v>
      </c>
      <c r="M18" s="532">
        <v>0</v>
      </c>
      <c r="N18" s="532">
        <f t="shared" si="0"/>
        <v>206620</v>
      </c>
      <c r="O18" s="532">
        <v>42673</v>
      </c>
      <c r="FA18"/>
    </row>
    <row r="19" spans="1:157" ht="30.6">
      <c r="A19">
        <v>15</v>
      </c>
      <c r="B19" s="540" t="s">
        <v>564</v>
      </c>
      <c r="C19" s="527">
        <v>1755000</v>
      </c>
      <c r="D19" s="527">
        <v>5167000</v>
      </c>
      <c r="E19" s="504" t="s">
        <v>142</v>
      </c>
      <c r="H19" s="291"/>
      <c r="I19" s="540" t="s">
        <v>564</v>
      </c>
      <c r="J19" s="532">
        <v>0</v>
      </c>
      <c r="K19" s="532">
        <v>0</v>
      </c>
      <c r="L19" s="532">
        <v>155000</v>
      </c>
      <c r="M19" s="532">
        <v>1600000</v>
      </c>
      <c r="N19" s="532">
        <f t="shared" si="0"/>
        <v>1755000</v>
      </c>
      <c r="O19" s="532">
        <v>1755000</v>
      </c>
      <c r="FA19"/>
    </row>
    <row r="20" spans="1:157" ht="40.799999999999997">
      <c r="A20">
        <v>16</v>
      </c>
      <c r="B20" s="540" t="s">
        <v>198</v>
      </c>
      <c r="C20" s="527">
        <v>1366000</v>
      </c>
      <c r="D20" s="527">
        <v>5778000</v>
      </c>
      <c r="E20" s="504" t="s">
        <v>142</v>
      </c>
      <c r="H20" s="291"/>
      <c r="I20" s="540" t="s">
        <v>198</v>
      </c>
      <c r="J20" s="532">
        <v>0</v>
      </c>
      <c r="K20" s="532">
        <v>0</v>
      </c>
      <c r="L20" s="532">
        <v>0</v>
      </c>
      <c r="M20" s="532">
        <v>1366000</v>
      </c>
      <c r="N20" s="532">
        <f t="shared" si="0"/>
        <v>1366000</v>
      </c>
      <c r="O20" s="532">
        <v>1366000</v>
      </c>
      <c r="FA20"/>
    </row>
    <row r="21" spans="1:157" ht="20.399999999999999">
      <c r="A21">
        <v>17</v>
      </c>
      <c r="B21" s="533" t="s">
        <v>144</v>
      </c>
      <c r="C21" s="499">
        <v>585333</v>
      </c>
      <c r="D21" s="499">
        <v>922596.3</v>
      </c>
      <c r="E21" s="509" t="s">
        <v>115</v>
      </c>
      <c r="H21" s="291"/>
      <c r="I21" s="533" t="s">
        <v>144</v>
      </c>
      <c r="J21" s="532">
        <v>0</v>
      </c>
      <c r="K21" s="532">
        <v>0</v>
      </c>
      <c r="L21" s="532">
        <v>278730</v>
      </c>
      <c r="M21" s="532">
        <v>306603</v>
      </c>
      <c r="N21" s="532">
        <f t="shared" si="0"/>
        <v>585333</v>
      </c>
      <c r="O21" s="532">
        <v>585333</v>
      </c>
      <c r="FA21"/>
    </row>
    <row r="22" spans="1:157" ht="24">
      <c r="A22">
        <v>18</v>
      </c>
      <c r="B22" s="533" t="s">
        <v>273</v>
      </c>
      <c r="C22" s="499">
        <v>0</v>
      </c>
      <c r="D22" s="499">
        <v>7300000</v>
      </c>
      <c r="E22" s="510" t="s">
        <v>755</v>
      </c>
      <c r="H22" s="291"/>
      <c r="I22" s="533" t="s">
        <v>273</v>
      </c>
      <c r="J22" s="532">
        <v>0</v>
      </c>
      <c r="K22" s="532">
        <v>0</v>
      </c>
      <c r="L22" s="532">
        <v>0</v>
      </c>
      <c r="M22" s="532">
        <v>0</v>
      </c>
      <c r="N22" s="532">
        <f t="shared" si="0"/>
        <v>0</v>
      </c>
      <c r="O22" s="532">
        <v>0</v>
      </c>
      <c r="FA22"/>
    </row>
    <row r="23" spans="1:157" ht="24">
      <c r="A23">
        <v>19</v>
      </c>
      <c r="B23" s="538" t="s">
        <v>190</v>
      </c>
      <c r="C23" s="527">
        <v>0</v>
      </c>
      <c r="D23" s="529">
        <v>9000000</v>
      </c>
      <c r="E23" s="507" t="s">
        <v>693</v>
      </c>
      <c r="H23" s="291"/>
      <c r="I23" s="536" t="s">
        <v>190</v>
      </c>
      <c r="J23" s="532">
        <v>0</v>
      </c>
      <c r="K23" s="532">
        <v>0</v>
      </c>
      <c r="L23" s="532">
        <v>0</v>
      </c>
      <c r="M23" s="532">
        <v>0</v>
      </c>
      <c r="N23" s="532">
        <f t="shared" si="0"/>
        <v>0</v>
      </c>
      <c r="O23" s="532">
        <v>0</v>
      </c>
      <c r="FA23"/>
    </row>
    <row r="24" spans="1:157" ht="20.399999999999999">
      <c r="A24">
        <v>20</v>
      </c>
      <c r="B24" s="533" t="s">
        <v>151</v>
      </c>
      <c r="C24" s="499">
        <v>74617</v>
      </c>
      <c r="D24" s="499">
        <v>1492344</v>
      </c>
      <c r="E24" s="509" t="s">
        <v>152</v>
      </c>
      <c r="H24" s="291"/>
      <c r="I24" s="533" t="s">
        <v>151</v>
      </c>
      <c r="J24" s="532">
        <v>0</v>
      </c>
      <c r="K24" s="532">
        <v>0</v>
      </c>
      <c r="L24" s="532">
        <v>0</v>
      </c>
      <c r="M24" s="532">
        <v>74617</v>
      </c>
      <c r="N24" s="532">
        <f t="shared" si="0"/>
        <v>74617</v>
      </c>
      <c r="O24" s="532">
        <v>74617</v>
      </c>
      <c r="FA24"/>
    </row>
    <row r="25" spans="1:157" ht="30.6">
      <c r="A25">
        <v>21</v>
      </c>
      <c r="B25" s="533" t="s">
        <v>707</v>
      </c>
      <c r="C25" s="499">
        <v>159713</v>
      </c>
      <c r="D25" s="499">
        <v>159713</v>
      </c>
      <c r="E25" s="509" t="s">
        <v>706</v>
      </c>
      <c r="H25" s="291"/>
      <c r="I25" s="533" t="s">
        <v>707</v>
      </c>
      <c r="J25" s="532">
        <v>159713</v>
      </c>
      <c r="K25" s="532"/>
      <c r="L25" s="532"/>
      <c r="M25" s="532"/>
      <c r="N25" s="532">
        <f t="shared" si="0"/>
        <v>159713</v>
      </c>
      <c r="O25" s="532">
        <v>0</v>
      </c>
      <c r="FA25"/>
    </row>
    <row r="26" spans="1:157" ht="51">
      <c r="A26">
        <v>22</v>
      </c>
      <c r="B26" s="533" t="s">
        <v>563</v>
      </c>
      <c r="C26" s="499">
        <v>2647101.59</v>
      </c>
      <c r="D26" s="499">
        <v>4495655.99</v>
      </c>
      <c r="E26" s="509" t="s">
        <v>757</v>
      </c>
      <c r="H26" s="291"/>
      <c r="I26" s="533" t="s">
        <v>563</v>
      </c>
      <c r="J26" s="532">
        <v>0</v>
      </c>
      <c r="K26" s="532">
        <v>12100</v>
      </c>
      <c r="L26" s="532">
        <v>1420394.73</v>
      </c>
      <c r="M26" s="532">
        <v>1214606.8600000001</v>
      </c>
      <c r="N26" s="532">
        <f t="shared" si="0"/>
        <v>2647101.59</v>
      </c>
      <c r="O26" s="532">
        <v>2647101.59</v>
      </c>
      <c r="FA26"/>
    </row>
    <row r="27" spans="1:157" ht="51">
      <c r="A27">
        <v>23</v>
      </c>
      <c r="B27" s="533" t="s">
        <v>562</v>
      </c>
      <c r="C27" s="499">
        <v>1894344.0099999998</v>
      </c>
      <c r="D27" s="499">
        <v>3214740.01</v>
      </c>
      <c r="E27" s="509" t="s">
        <v>639</v>
      </c>
      <c r="H27" s="291"/>
      <c r="I27" s="533" t="s">
        <v>562</v>
      </c>
      <c r="J27" s="532">
        <v>0</v>
      </c>
      <c r="K27" s="532">
        <v>12200</v>
      </c>
      <c r="L27" s="532">
        <v>1014567.6699999999</v>
      </c>
      <c r="M27" s="532">
        <v>867576.34000000008</v>
      </c>
      <c r="N27" s="532">
        <f t="shared" si="0"/>
        <v>1894344.01</v>
      </c>
      <c r="O27" s="532">
        <v>1894344.01</v>
      </c>
      <c r="FA27"/>
    </row>
    <row r="28" spans="1:157" ht="51">
      <c r="A28">
        <v>24</v>
      </c>
      <c r="B28" s="533" t="s">
        <v>130</v>
      </c>
      <c r="C28" s="499">
        <v>1141486.3999999999</v>
      </c>
      <c r="D28" s="499">
        <v>1933724</v>
      </c>
      <c r="E28" s="509" t="s">
        <v>694</v>
      </c>
      <c r="H28" s="291"/>
      <c r="I28" s="533" t="s">
        <v>130</v>
      </c>
      <c r="J28" s="532">
        <v>0</v>
      </c>
      <c r="K28" s="532">
        <v>12200</v>
      </c>
      <c r="L28" s="532">
        <v>608740.6</v>
      </c>
      <c r="M28" s="532">
        <v>520545.8</v>
      </c>
      <c r="N28" s="532">
        <f t="shared" si="0"/>
        <v>1141486.3999999999</v>
      </c>
      <c r="O28" s="532">
        <v>1141486.3999999999</v>
      </c>
      <c r="FA28"/>
    </row>
    <row r="29" spans="1:157" ht="30.6">
      <c r="A29">
        <v>25</v>
      </c>
      <c r="B29" s="533" t="s">
        <v>157</v>
      </c>
      <c r="C29" s="499">
        <v>310700</v>
      </c>
      <c r="D29" s="499">
        <v>680000</v>
      </c>
      <c r="E29" s="509" t="s">
        <v>158</v>
      </c>
      <c r="H29" s="291"/>
      <c r="I29" s="533" t="s">
        <v>157</v>
      </c>
      <c r="J29" s="532">
        <v>0</v>
      </c>
      <c r="K29" s="532">
        <v>0</v>
      </c>
      <c r="L29" s="532">
        <v>80000</v>
      </c>
      <c r="M29" s="532">
        <v>230700</v>
      </c>
      <c r="N29" s="532">
        <f t="shared" si="0"/>
        <v>310700</v>
      </c>
      <c r="O29" s="532">
        <v>310700</v>
      </c>
      <c r="FA29"/>
    </row>
    <row r="30" spans="1:157" ht="51">
      <c r="A30">
        <v>26</v>
      </c>
      <c r="B30" s="533" t="s">
        <v>147</v>
      </c>
      <c r="C30" s="499">
        <v>12676000</v>
      </c>
      <c r="D30" s="499">
        <v>44280000</v>
      </c>
      <c r="E30" s="509" t="s">
        <v>148</v>
      </c>
      <c r="H30" s="291"/>
      <c r="I30" s="533" t="s">
        <v>147</v>
      </c>
      <c r="J30" s="532">
        <v>0</v>
      </c>
      <c r="K30" s="532">
        <v>25000</v>
      </c>
      <c r="L30" s="532">
        <v>4892000</v>
      </c>
      <c r="M30" s="532">
        <v>7759000</v>
      </c>
      <c r="N30" s="532">
        <f t="shared" si="0"/>
        <v>12676000</v>
      </c>
      <c r="O30" s="532">
        <v>12676000</v>
      </c>
      <c r="FA30"/>
    </row>
    <row r="31" spans="1:157" ht="24">
      <c r="A31">
        <v>27</v>
      </c>
      <c r="B31" s="538" t="s">
        <v>702</v>
      </c>
      <c r="C31" s="532">
        <v>40000</v>
      </c>
      <c r="D31" s="528">
        <v>60000</v>
      </c>
      <c r="E31" s="504" t="s">
        <v>760</v>
      </c>
      <c r="H31" s="291"/>
      <c r="I31" s="538" t="s">
        <v>702</v>
      </c>
      <c r="J31" s="532">
        <v>0</v>
      </c>
      <c r="K31" s="532">
        <v>0</v>
      </c>
      <c r="L31" s="532">
        <v>20000</v>
      </c>
      <c r="M31" s="532">
        <v>20000</v>
      </c>
      <c r="N31" s="532">
        <f t="shared" si="0"/>
        <v>40000</v>
      </c>
      <c r="O31" s="532">
        <v>40000</v>
      </c>
      <c r="FA31"/>
    </row>
    <row r="32" spans="1:157" ht="40.799999999999997">
      <c r="A32">
        <v>28</v>
      </c>
      <c r="B32" s="533" t="s">
        <v>134</v>
      </c>
      <c r="C32" s="499">
        <v>31554680</v>
      </c>
      <c r="D32" s="499">
        <v>31554680</v>
      </c>
      <c r="E32" s="509" t="s">
        <v>647</v>
      </c>
      <c r="H32" s="291"/>
      <c r="I32" s="533" t="s">
        <v>134</v>
      </c>
      <c r="J32" s="532">
        <v>7054680</v>
      </c>
      <c r="K32" s="532">
        <v>12000000</v>
      </c>
      <c r="L32" s="532">
        <v>6250000</v>
      </c>
      <c r="M32" s="532">
        <v>6250000</v>
      </c>
      <c r="N32" s="532">
        <f t="shared" si="0"/>
        <v>31554680</v>
      </c>
      <c r="O32" s="532">
        <v>24500000</v>
      </c>
      <c r="FA32"/>
    </row>
    <row r="33" spans="1:157" ht="40.799999999999997">
      <c r="A33">
        <v>29</v>
      </c>
      <c r="B33" s="536" t="s">
        <v>654</v>
      </c>
      <c r="C33" s="532">
        <v>29669</v>
      </c>
      <c r="D33" s="528">
        <v>29669</v>
      </c>
      <c r="E33" s="504" t="s">
        <v>632</v>
      </c>
      <c r="H33" s="291"/>
      <c r="I33" s="536" t="s">
        <v>654</v>
      </c>
      <c r="J33" s="532">
        <v>0</v>
      </c>
      <c r="K33" s="532">
        <v>898</v>
      </c>
      <c r="L33" s="532">
        <v>6771</v>
      </c>
      <c r="M33" s="532">
        <v>22000</v>
      </c>
      <c r="N33" s="532">
        <f t="shared" si="0"/>
        <v>29669</v>
      </c>
      <c r="O33" s="532">
        <v>29669</v>
      </c>
      <c r="FA33"/>
    </row>
    <row r="34" spans="1:157" ht="30.6">
      <c r="A34">
        <v>30</v>
      </c>
      <c r="B34" s="533" t="s">
        <v>554</v>
      </c>
      <c r="C34" s="499">
        <v>15000</v>
      </c>
      <c r="D34" s="499">
        <v>30000</v>
      </c>
      <c r="E34" s="510" t="s">
        <v>553</v>
      </c>
      <c r="H34" s="291"/>
      <c r="I34" s="538" t="s">
        <v>554</v>
      </c>
      <c r="J34" s="532">
        <v>0</v>
      </c>
      <c r="K34" s="532">
        <v>0</v>
      </c>
      <c r="L34" s="532">
        <v>0</v>
      </c>
      <c r="M34" s="532">
        <v>15000</v>
      </c>
      <c r="N34" s="532">
        <f t="shared" si="0"/>
        <v>15000</v>
      </c>
      <c r="O34" s="532">
        <v>15000</v>
      </c>
      <c r="FA34"/>
    </row>
    <row r="35" spans="1:157" ht="40.799999999999997">
      <c r="A35">
        <v>31</v>
      </c>
      <c r="B35" s="538" t="s">
        <v>705</v>
      </c>
      <c r="C35" s="532">
        <v>1188650</v>
      </c>
      <c r="D35" s="528">
        <v>2036650</v>
      </c>
      <c r="E35" s="504" t="s">
        <v>704</v>
      </c>
      <c r="H35" s="291"/>
      <c r="I35" s="536" t="s">
        <v>705</v>
      </c>
      <c r="J35" s="532">
        <v>114690</v>
      </c>
      <c r="K35" s="532">
        <v>217670</v>
      </c>
      <c r="L35" s="532">
        <v>375410</v>
      </c>
      <c r="M35" s="532">
        <v>480880</v>
      </c>
      <c r="N35" s="532">
        <f t="shared" si="0"/>
        <v>1188650</v>
      </c>
      <c r="O35" s="532">
        <v>1073960</v>
      </c>
      <c r="FA35"/>
    </row>
    <row r="36" spans="1:157" ht="40.799999999999997">
      <c r="A36">
        <v>32</v>
      </c>
      <c r="B36" s="533" t="s">
        <v>121</v>
      </c>
      <c r="C36" s="499">
        <v>1778375</v>
      </c>
      <c r="D36" s="499">
        <v>1858375</v>
      </c>
      <c r="E36" s="509" t="s">
        <v>122</v>
      </c>
      <c r="H36" s="291"/>
      <c r="I36" s="533" t="s">
        <v>121</v>
      </c>
      <c r="J36" s="532">
        <v>134463</v>
      </c>
      <c r="K36" s="532">
        <v>925250</v>
      </c>
      <c r="L36" s="532">
        <v>488000</v>
      </c>
      <c r="M36" s="532">
        <v>230662</v>
      </c>
      <c r="N36" s="532">
        <f t="shared" si="0"/>
        <v>1778375</v>
      </c>
      <c r="O36" s="532">
        <v>1643912</v>
      </c>
      <c r="FA36"/>
    </row>
    <row r="37" spans="1:157" ht="61.2">
      <c r="A37">
        <v>33</v>
      </c>
      <c r="B37" s="533" t="s">
        <v>642</v>
      </c>
      <c r="C37" s="499">
        <v>788400</v>
      </c>
      <c r="D37" s="499">
        <v>788400</v>
      </c>
      <c r="E37" s="509" t="s">
        <v>135</v>
      </c>
      <c r="H37" s="291"/>
      <c r="I37" s="533" t="s">
        <v>642</v>
      </c>
      <c r="J37" s="532">
        <v>300000</v>
      </c>
      <c r="K37" s="532">
        <v>200000</v>
      </c>
      <c r="L37" s="532">
        <v>100000</v>
      </c>
      <c r="M37" s="532">
        <v>188400</v>
      </c>
      <c r="N37" s="532">
        <f t="shared" ref="N37:N68" si="1">SUM(J37:M37)</f>
        <v>788400</v>
      </c>
      <c r="O37" s="532">
        <v>488400</v>
      </c>
      <c r="FA37"/>
    </row>
    <row r="38" spans="1:157" ht="30.6">
      <c r="A38">
        <v>34</v>
      </c>
      <c r="B38" s="533" t="s">
        <v>159</v>
      </c>
      <c r="C38" s="499">
        <v>437900</v>
      </c>
      <c r="D38" s="499">
        <v>2055980</v>
      </c>
      <c r="E38" s="509" t="s">
        <v>160</v>
      </c>
      <c r="H38" s="291"/>
      <c r="I38" s="533" t="s">
        <v>159</v>
      </c>
      <c r="J38" s="532">
        <v>0</v>
      </c>
      <c r="K38" s="532">
        <v>137142</v>
      </c>
      <c r="L38" s="532">
        <v>215596</v>
      </c>
      <c r="M38" s="532">
        <v>85162</v>
      </c>
      <c r="N38" s="532">
        <f t="shared" si="1"/>
        <v>437900</v>
      </c>
      <c r="O38" s="532">
        <v>437900</v>
      </c>
      <c r="FA38"/>
    </row>
    <row r="39" spans="1:157" ht="24">
      <c r="A39">
        <v>35</v>
      </c>
      <c r="B39" s="533" t="s">
        <v>270</v>
      </c>
      <c r="C39" s="499">
        <v>5000000</v>
      </c>
      <c r="D39" s="499">
        <v>14000000</v>
      </c>
      <c r="E39" s="507" t="s">
        <v>689</v>
      </c>
      <c r="H39" s="291"/>
      <c r="I39" s="533" t="s">
        <v>270</v>
      </c>
      <c r="J39" s="532">
        <v>0</v>
      </c>
      <c r="K39" s="532">
        <v>0</v>
      </c>
      <c r="L39" s="532">
        <v>0</v>
      </c>
      <c r="M39" s="532">
        <v>5000000</v>
      </c>
      <c r="N39" s="532">
        <f t="shared" si="1"/>
        <v>5000000</v>
      </c>
      <c r="O39" s="532">
        <v>5000000</v>
      </c>
      <c r="FA39"/>
    </row>
    <row r="40" spans="1:157" ht="40.799999999999997">
      <c r="A40">
        <v>36</v>
      </c>
      <c r="B40" s="534" t="s">
        <v>751</v>
      </c>
      <c r="C40" s="531">
        <v>495000</v>
      </c>
      <c r="D40" s="499">
        <v>2524000</v>
      </c>
      <c r="E40" s="507" t="s">
        <v>750</v>
      </c>
      <c r="H40" s="291"/>
      <c r="I40" s="534" t="s">
        <v>751</v>
      </c>
      <c r="J40" s="532">
        <v>0</v>
      </c>
      <c r="K40" s="532">
        <v>0</v>
      </c>
      <c r="L40" s="532">
        <v>0</v>
      </c>
      <c r="M40" s="532">
        <v>495000</v>
      </c>
      <c r="N40" s="532">
        <f t="shared" si="1"/>
        <v>495000</v>
      </c>
      <c r="O40" s="532">
        <v>495000</v>
      </c>
      <c r="FA40"/>
    </row>
    <row r="41" spans="1:157" ht="30.6">
      <c r="A41">
        <v>37</v>
      </c>
      <c r="B41" s="533" t="s">
        <v>161</v>
      </c>
      <c r="C41" s="499">
        <v>340275</v>
      </c>
      <c r="D41" s="499">
        <v>1212389</v>
      </c>
      <c r="E41" s="509" t="s">
        <v>160</v>
      </c>
      <c r="H41" s="291"/>
      <c r="I41" s="533" t="s">
        <v>161</v>
      </c>
      <c r="J41" s="532">
        <v>0</v>
      </c>
      <c r="K41" s="532">
        <v>140000</v>
      </c>
      <c r="L41" s="532">
        <v>154375</v>
      </c>
      <c r="M41" s="532">
        <v>45900</v>
      </c>
      <c r="N41" s="532">
        <f t="shared" si="1"/>
        <v>340275</v>
      </c>
      <c r="O41" s="532">
        <v>340275</v>
      </c>
      <c r="FA41"/>
    </row>
    <row r="42" spans="1:157" ht="40.799999999999997">
      <c r="A42">
        <v>38</v>
      </c>
      <c r="B42" s="533" t="s">
        <v>277</v>
      </c>
      <c r="C42" s="499">
        <v>0</v>
      </c>
      <c r="D42" s="499">
        <v>8157828</v>
      </c>
      <c r="E42" s="510" t="s">
        <v>276</v>
      </c>
      <c r="H42" s="291"/>
      <c r="I42" s="533" t="s">
        <v>277</v>
      </c>
      <c r="J42" s="532">
        <v>0</v>
      </c>
      <c r="K42" s="532">
        <v>0</v>
      </c>
      <c r="L42" s="532">
        <v>0</v>
      </c>
      <c r="M42" s="532">
        <v>0</v>
      </c>
      <c r="N42" s="532">
        <f t="shared" si="1"/>
        <v>0</v>
      </c>
      <c r="O42" s="532">
        <v>0</v>
      </c>
      <c r="FA42"/>
    </row>
    <row r="43" spans="1:157" ht="30.6">
      <c r="A43">
        <v>39</v>
      </c>
      <c r="B43" s="533" t="s">
        <v>640</v>
      </c>
      <c r="C43" s="499">
        <v>0</v>
      </c>
      <c r="D43" s="499">
        <v>5684877</v>
      </c>
      <c r="E43" s="509" t="s">
        <v>160</v>
      </c>
      <c r="H43" s="291"/>
      <c r="I43" s="533" t="s">
        <v>640</v>
      </c>
      <c r="J43" s="532">
        <v>0</v>
      </c>
      <c r="K43" s="532">
        <v>0</v>
      </c>
      <c r="L43" s="532">
        <v>0</v>
      </c>
      <c r="M43" s="532">
        <v>0</v>
      </c>
      <c r="N43" s="532">
        <f t="shared" si="1"/>
        <v>0</v>
      </c>
      <c r="O43" s="532">
        <v>0</v>
      </c>
      <c r="FA43"/>
    </row>
    <row r="44" spans="1:157" ht="40.799999999999997">
      <c r="A44">
        <v>40</v>
      </c>
      <c r="B44" s="533" t="s">
        <v>129</v>
      </c>
      <c r="C44" s="499">
        <v>2844170.66</v>
      </c>
      <c r="D44" s="499">
        <v>3514115.66</v>
      </c>
      <c r="E44" s="509" t="s">
        <v>757</v>
      </c>
      <c r="H44" s="291"/>
      <c r="I44" s="533" t="s">
        <v>129</v>
      </c>
      <c r="J44" s="532">
        <v>0</v>
      </c>
      <c r="K44" s="532">
        <v>12100</v>
      </c>
      <c r="L44" s="532">
        <v>1092449</v>
      </c>
      <c r="M44" s="532">
        <v>1739621.6600000001</v>
      </c>
      <c r="N44" s="532">
        <f t="shared" si="1"/>
        <v>2844170.66</v>
      </c>
      <c r="O44" s="532">
        <v>2844170.66</v>
      </c>
      <c r="FA44"/>
    </row>
    <row r="45" spans="1:157" ht="40.799999999999997">
      <c r="A45">
        <v>41</v>
      </c>
      <c r="B45" s="533" t="s">
        <v>648</v>
      </c>
      <c r="C45" s="499">
        <v>1520947.57</v>
      </c>
      <c r="D45" s="499">
        <v>2190892.5700000003</v>
      </c>
      <c r="E45" s="509" t="s">
        <v>639</v>
      </c>
      <c r="H45" s="291"/>
      <c r="I45" s="533" t="s">
        <v>648</v>
      </c>
      <c r="J45" s="532">
        <v>0</v>
      </c>
      <c r="K45" s="532">
        <v>12200</v>
      </c>
      <c r="L45" s="532">
        <v>780322</v>
      </c>
      <c r="M45" s="532">
        <v>728425.57000000007</v>
      </c>
      <c r="N45" s="532">
        <f t="shared" si="1"/>
        <v>1520947.57</v>
      </c>
      <c r="O45" s="532">
        <v>1520947.57</v>
      </c>
      <c r="FA45"/>
    </row>
    <row r="46" spans="1:157" ht="40.799999999999997">
      <c r="A46">
        <v>42</v>
      </c>
      <c r="B46" s="533" t="s">
        <v>131</v>
      </c>
      <c r="C46" s="499">
        <v>615697.42999999993</v>
      </c>
      <c r="D46" s="499">
        <v>1285640.43</v>
      </c>
      <c r="E46" s="509" t="s">
        <v>694</v>
      </c>
      <c r="H46" s="291"/>
      <c r="I46" s="533" t="s">
        <v>131</v>
      </c>
      <c r="J46" s="532">
        <v>0</v>
      </c>
      <c r="K46" s="532">
        <v>12200</v>
      </c>
      <c r="L46" s="532">
        <v>312128</v>
      </c>
      <c r="M46" s="532">
        <v>291369.43</v>
      </c>
      <c r="N46" s="532">
        <f t="shared" si="1"/>
        <v>615697.42999999993</v>
      </c>
      <c r="O46" s="532">
        <v>615697.42999999993</v>
      </c>
      <c r="FA46"/>
    </row>
    <row r="47" spans="1:157" ht="51">
      <c r="A47">
        <v>43</v>
      </c>
      <c r="B47" s="533" t="s">
        <v>127</v>
      </c>
      <c r="C47" s="499">
        <v>594706.66666666709</v>
      </c>
      <c r="D47" s="499">
        <v>594706.66666666709</v>
      </c>
      <c r="E47" s="509" t="s">
        <v>639</v>
      </c>
      <c r="H47" s="291"/>
      <c r="I47" s="533" t="s">
        <v>127</v>
      </c>
      <c r="J47" s="532">
        <v>72538.33</v>
      </c>
      <c r="K47" s="532">
        <v>298967.67000000004</v>
      </c>
      <c r="L47" s="532">
        <v>60819.67</v>
      </c>
      <c r="M47" s="532">
        <v>162380.99666666699</v>
      </c>
      <c r="N47" s="532">
        <f t="shared" si="1"/>
        <v>594706.66666666698</v>
      </c>
      <c r="O47" s="532">
        <v>522168.33666666702</v>
      </c>
      <c r="FA47"/>
    </row>
    <row r="48" spans="1:157" ht="51">
      <c r="A48">
        <v>44</v>
      </c>
      <c r="B48" s="533" t="s">
        <v>116</v>
      </c>
      <c r="C48" s="499">
        <v>594706.67000000004</v>
      </c>
      <c r="D48" s="499">
        <v>594706.67000000004</v>
      </c>
      <c r="E48" s="509" t="s">
        <v>117</v>
      </c>
      <c r="H48" s="291"/>
      <c r="I48" s="533" t="s">
        <v>116</v>
      </c>
      <c r="J48" s="532">
        <v>72538.33</v>
      </c>
      <c r="K48" s="532">
        <v>298967.67000000004</v>
      </c>
      <c r="L48" s="532">
        <v>60819.67</v>
      </c>
      <c r="M48" s="532">
        <v>162381</v>
      </c>
      <c r="N48" s="532">
        <f t="shared" si="1"/>
        <v>594706.67000000004</v>
      </c>
      <c r="O48" s="532">
        <v>522168.34</v>
      </c>
      <c r="FA48"/>
    </row>
    <row r="49" spans="1:157" ht="51">
      <c r="A49">
        <v>45</v>
      </c>
      <c r="B49" s="533" t="s">
        <v>123</v>
      </c>
      <c r="C49" s="499">
        <v>594706.67000000004</v>
      </c>
      <c r="D49" s="499">
        <v>594706.67000000004</v>
      </c>
      <c r="E49" s="509" t="s">
        <v>694</v>
      </c>
      <c r="H49" s="291"/>
      <c r="I49" s="533" t="s">
        <v>123</v>
      </c>
      <c r="J49" s="532">
        <v>72538.33</v>
      </c>
      <c r="K49" s="532">
        <v>298967.67000000004</v>
      </c>
      <c r="L49" s="532">
        <v>60819.67</v>
      </c>
      <c r="M49" s="532">
        <v>162381</v>
      </c>
      <c r="N49" s="532">
        <f t="shared" si="1"/>
        <v>594706.67000000004</v>
      </c>
      <c r="O49" s="532">
        <v>522168.34</v>
      </c>
      <c r="FA49"/>
    </row>
    <row r="50" spans="1:157" ht="20.399999999999999">
      <c r="A50">
        <v>46</v>
      </c>
      <c r="B50" s="534" t="s">
        <v>720</v>
      </c>
      <c r="C50" s="531">
        <v>200000</v>
      </c>
      <c r="D50" s="499">
        <v>200000</v>
      </c>
      <c r="E50" s="507" t="s">
        <v>719</v>
      </c>
      <c r="H50" s="291"/>
      <c r="I50" s="534" t="s">
        <v>720</v>
      </c>
      <c r="J50" s="532">
        <v>0</v>
      </c>
      <c r="K50" s="532">
        <v>0</v>
      </c>
      <c r="L50" s="532">
        <v>0</v>
      </c>
      <c r="M50" s="532">
        <v>200000</v>
      </c>
      <c r="N50" s="532">
        <f t="shared" si="1"/>
        <v>200000</v>
      </c>
      <c r="O50" s="532">
        <v>200000</v>
      </c>
      <c r="FA50"/>
    </row>
    <row r="51" spans="1:157" ht="30.6">
      <c r="A51">
        <v>47</v>
      </c>
      <c r="B51" s="534" t="s">
        <v>794</v>
      </c>
      <c r="C51" s="531">
        <v>180000</v>
      </c>
      <c r="D51" s="499">
        <v>180000</v>
      </c>
      <c r="E51" s="507" t="s">
        <v>105</v>
      </c>
      <c r="H51" s="291"/>
      <c r="I51" s="534" t="s">
        <v>794</v>
      </c>
      <c r="J51" s="532">
        <v>129400</v>
      </c>
      <c r="K51" s="532">
        <v>17600</v>
      </c>
      <c r="L51" s="532">
        <v>33000</v>
      </c>
      <c r="M51" s="532">
        <v>0</v>
      </c>
      <c r="N51" s="532">
        <f t="shared" si="1"/>
        <v>180000</v>
      </c>
      <c r="O51" s="532">
        <v>50600</v>
      </c>
      <c r="FA51"/>
    </row>
    <row r="52" spans="1:157" ht="122.4">
      <c r="A52">
        <v>48</v>
      </c>
      <c r="B52" s="533" t="s">
        <v>668</v>
      </c>
      <c r="C52" s="499">
        <v>100000</v>
      </c>
      <c r="D52" s="499">
        <v>415000</v>
      </c>
      <c r="E52" s="510" t="s">
        <v>667</v>
      </c>
      <c r="H52" s="291"/>
      <c r="I52" s="538" t="s">
        <v>668</v>
      </c>
      <c r="J52" s="532">
        <v>0</v>
      </c>
      <c r="K52" s="532">
        <v>0</v>
      </c>
      <c r="L52" s="532">
        <v>0</v>
      </c>
      <c r="M52" s="532">
        <v>100000</v>
      </c>
      <c r="N52" s="532">
        <f t="shared" si="1"/>
        <v>100000</v>
      </c>
      <c r="O52" s="532">
        <v>100000</v>
      </c>
      <c r="FA52"/>
    </row>
    <row r="53" spans="1:157" ht="24">
      <c r="A53">
        <v>49</v>
      </c>
      <c r="B53" s="536" t="s">
        <v>560</v>
      </c>
      <c r="C53" s="532">
        <v>3677</v>
      </c>
      <c r="D53" s="528">
        <v>3677</v>
      </c>
      <c r="E53" s="504" t="s">
        <v>559</v>
      </c>
      <c r="H53" s="291"/>
      <c r="I53" s="536" t="s">
        <v>560</v>
      </c>
      <c r="J53" s="532">
        <v>0</v>
      </c>
      <c r="K53" s="532">
        <v>0</v>
      </c>
      <c r="L53" s="532">
        <v>3677</v>
      </c>
      <c r="M53" s="532">
        <v>0</v>
      </c>
      <c r="N53" s="532">
        <f t="shared" si="1"/>
        <v>3677</v>
      </c>
      <c r="O53" s="532">
        <v>3677</v>
      </c>
      <c r="FA53"/>
    </row>
    <row r="54" spans="1:157" ht="51">
      <c r="A54">
        <v>50</v>
      </c>
      <c r="B54" s="536" t="s">
        <v>558</v>
      </c>
      <c r="C54" s="532">
        <v>12460</v>
      </c>
      <c r="D54" s="528">
        <v>12460</v>
      </c>
      <c r="E54" s="504" t="s">
        <v>557</v>
      </c>
      <c r="H54" s="291"/>
      <c r="I54" s="536" t="s">
        <v>558</v>
      </c>
      <c r="J54" s="532">
        <v>0</v>
      </c>
      <c r="K54" s="532">
        <v>0</v>
      </c>
      <c r="L54" s="532">
        <v>12360</v>
      </c>
      <c r="M54" s="532">
        <v>100</v>
      </c>
      <c r="N54" s="532">
        <f t="shared" si="1"/>
        <v>12460</v>
      </c>
      <c r="O54" s="532">
        <v>12460</v>
      </c>
      <c r="FA54"/>
    </row>
    <row r="55" spans="1:157" ht="112.2">
      <c r="A55">
        <v>51</v>
      </c>
      <c r="B55" s="534" t="s">
        <v>797</v>
      </c>
      <c r="C55" s="531">
        <v>28734</v>
      </c>
      <c r="D55" s="499">
        <v>66734</v>
      </c>
      <c r="E55" s="507" t="s">
        <v>747</v>
      </c>
      <c r="H55" s="291"/>
      <c r="I55" s="534" t="s">
        <v>797</v>
      </c>
      <c r="J55" s="532">
        <v>1499</v>
      </c>
      <c r="K55" s="532">
        <v>4285</v>
      </c>
      <c r="L55" s="532">
        <v>7750</v>
      </c>
      <c r="M55" s="532">
        <v>15200</v>
      </c>
      <c r="N55" s="532">
        <f t="shared" si="1"/>
        <v>28734</v>
      </c>
      <c r="O55" s="532">
        <v>27235</v>
      </c>
      <c r="FA55"/>
    </row>
    <row r="56" spans="1:157" ht="20.399999999999999">
      <c r="A56">
        <v>52</v>
      </c>
      <c r="B56" s="536" t="s">
        <v>556</v>
      </c>
      <c r="C56" s="532">
        <v>1494</v>
      </c>
      <c r="D56" s="528">
        <v>1494</v>
      </c>
      <c r="E56" s="504" t="s">
        <v>555</v>
      </c>
      <c r="H56" s="291"/>
      <c r="I56" s="538" t="s">
        <v>556</v>
      </c>
      <c r="J56" s="532">
        <v>0</v>
      </c>
      <c r="K56" s="532">
        <v>0</v>
      </c>
      <c r="L56" s="532">
        <v>1342</v>
      </c>
      <c r="M56" s="532">
        <v>152</v>
      </c>
      <c r="N56" s="532">
        <f t="shared" si="1"/>
        <v>1494</v>
      </c>
      <c r="O56" s="532">
        <v>1494</v>
      </c>
      <c r="FA56"/>
    </row>
    <row r="57" spans="1:157" ht="20.399999999999999">
      <c r="A57">
        <v>53</v>
      </c>
      <c r="B57" s="538" t="s">
        <v>661</v>
      </c>
      <c r="C57" s="532">
        <v>8410</v>
      </c>
      <c r="D57" s="528">
        <v>8410</v>
      </c>
      <c r="E57" s="504" t="s">
        <v>660</v>
      </c>
      <c r="H57" s="291"/>
      <c r="I57" s="536" t="s">
        <v>661</v>
      </c>
      <c r="J57" s="532">
        <v>4410</v>
      </c>
      <c r="K57" s="532">
        <v>4000</v>
      </c>
      <c r="L57" s="532">
        <v>0</v>
      </c>
      <c r="M57" s="532">
        <v>0</v>
      </c>
      <c r="N57" s="532">
        <f t="shared" si="1"/>
        <v>8410</v>
      </c>
      <c r="O57" s="532">
        <v>4000</v>
      </c>
      <c r="FA57"/>
    </row>
    <row r="58" spans="1:157" ht="30.6">
      <c r="A58">
        <v>54</v>
      </c>
      <c r="B58" s="536" t="s">
        <v>169</v>
      </c>
      <c r="C58" s="532">
        <v>0</v>
      </c>
      <c r="D58" s="528">
        <v>92672</v>
      </c>
      <c r="E58" s="504" t="s">
        <v>170</v>
      </c>
      <c r="H58" s="291"/>
      <c r="I58" s="533" t="s">
        <v>169</v>
      </c>
      <c r="J58" s="532">
        <v>0</v>
      </c>
      <c r="K58" s="532">
        <v>0</v>
      </c>
      <c r="L58" s="532">
        <v>0</v>
      </c>
      <c r="M58" s="532">
        <v>0</v>
      </c>
      <c r="N58" s="532">
        <f t="shared" si="1"/>
        <v>0</v>
      </c>
      <c r="O58" s="532">
        <v>0</v>
      </c>
      <c r="FA58"/>
    </row>
    <row r="59" spans="1:157" ht="40.799999999999997">
      <c r="A59">
        <v>55</v>
      </c>
      <c r="B59" s="534" t="s">
        <v>728</v>
      </c>
      <c r="C59" s="531">
        <v>3258121</v>
      </c>
      <c r="D59" s="499">
        <v>3258121</v>
      </c>
      <c r="E59" s="507" t="s">
        <v>727</v>
      </c>
      <c r="H59" s="291"/>
      <c r="I59" s="534" t="s">
        <v>728</v>
      </c>
      <c r="J59" s="532">
        <v>323992</v>
      </c>
      <c r="K59" s="532">
        <v>622497</v>
      </c>
      <c r="L59" s="532">
        <v>1155816</v>
      </c>
      <c r="M59" s="532">
        <v>1155816</v>
      </c>
      <c r="N59" s="532">
        <f t="shared" si="1"/>
        <v>3258121</v>
      </c>
      <c r="O59" s="532">
        <v>2934129</v>
      </c>
      <c r="FA59"/>
    </row>
    <row r="60" spans="1:157" ht="24">
      <c r="A60">
        <v>56</v>
      </c>
      <c r="B60" s="538" t="s">
        <v>445</v>
      </c>
      <c r="C60" s="532">
        <v>316976</v>
      </c>
      <c r="D60" s="528">
        <v>493213</v>
      </c>
      <c r="E60" s="507" t="s">
        <v>756</v>
      </c>
      <c r="H60" s="291"/>
      <c r="I60" s="538" t="s">
        <v>445</v>
      </c>
      <c r="J60" s="532">
        <v>0</v>
      </c>
      <c r="K60" s="532">
        <v>0</v>
      </c>
      <c r="L60" s="532">
        <v>5122</v>
      </c>
      <c r="M60" s="532">
        <v>311854</v>
      </c>
      <c r="N60" s="532">
        <f t="shared" si="1"/>
        <v>316976</v>
      </c>
      <c r="O60" s="532">
        <v>316976</v>
      </c>
      <c r="FA60"/>
    </row>
    <row r="61" spans="1:157" ht="36">
      <c r="A61">
        <v>57</v>
      </c>
      <c r="B61" s="534" t="s">
        <v>746</v>
      </c>
      <c r="C61" s="531">
        <v>57500</v>
      </c>
      <c r="D61" s="499">
        <v>78500</v>
      </c>
      <c r="E61" s="507" t="s">
        <v>745</v>
      </c>
      <c r="H61" s="291"/>
      <c r="I61" s="534" t="s">
        <v>746</v>
      </c>
      <c r="J61" s="532">
        <v>40000</v>
      </c>
      <c r="K61" s="532">
        <v>0</v>
      </c>
      <c r="L61" s="532">
        <v>0</v>
      </c>
      <c r="M61" s="532">
        <v>17500</v>
      </c>
      <c r="N61" s="532">
        <f t="shared" si="1"/>
        <v>57500</v>
      </c>
      <c r="O61" s="532">
        <v>17500</v>
      </c>
      <c r="FA61"/>
    </row>
    <row r="62" spans="1:157" ht="81.599999999999994">
      <c r="A62">
        <v>58</v>
      </c>
      <c r="B62" s="534" t="s">
        <v>726</v>
      </c>
      <c r="C62" s="531">
        <v>455655</v>
      </c>
      <c r="D62" s="499">
        <v>455655</v>
      </c>
      <c r="E62" s="507" t="s">
        <v>714</v>
      </c>
      <c r="H62" s="291"/>
      <c r="I62" s="534" t="s">
        <v>726</v>
      </c>
      <c r="J62" s="532">
        <v>91932</v>
      </c>
      <c r="K62" s="532">
        <v>102659</v>
      </c>
      <c r="L62" s="532">
        <v>139488</v>
      </c>
      <c r="M62" s="532">
        <v>121576</v>
      </c>
      <c r="N62" s="532">
        <f t="shared" si="1"/>
        <v>455655</v>
      </c>
      <c r="O62" s="532">
        <v>363723</v>
      </c>
      <c r="FA62"/>
    </row>
    <row r="63" spans="1:157" ht="61.2">
      <c r="A63">
        <v>59</v>
      </c>
      <c r="B63" s="533" t="s">
        <v>567</v>
      </c>
      <c r="C63" s="499">
        <v>4116285</v>
      </c>
      <c r="D63" s="499">
        <v>4116285</v>
      </c>
      <c r="E63" s="509" t="s">
        <v>646</v>
      </c>
      <c r="H63" s="291"/>
      <c r="I63" s="533" t="s">
        <v>567</v>
      </c>
      <c r="J63" s="532">
        <v>1000000</v>
      </c>
      <c r="K63" s="532">
        <v>1372300</v>
      </c>
      <c r="L63" s="532">
        <v>1743985</v>
      </c>
      <c r="M63" s="532">
        <v>0</v>
      </c>
      <c r="N63" s="532">
        <f t="shared" si="1"/>
        <v>4116285</v>
      </c>
      <c r="O63" s="532">
        <v>3116285</v>
      </c>
      <c r="FA63"/>
    </row>
    <row r="64" spans="1:157" ht="81.599999999999994">
      <c r="A64">
        <v>60</v>
      </c>
      <c r="B64" s="534" t="s">
        <v>730</v>
      </c>
      <c r="C64" s="531">
        <v>1812915</v>
      </c>
      <c r="D64" s="499">
        <v>1812915</v>
      </c>
      <c r="E64" s="507" t="s">
        <v>729</v>
      </c>
      <c r="H64" s="291"/>
      <c r="I64" s="534" t="s">
        <v>730</v>
      </c>
      <c r="J64" s="532">
        <v>48500</v>
      </c>
      <c r="K64" s="532">
        <v>20430</v>
      </c>
      <c r="L64" s="532">
        <v>1743985</v>
      </c>
      <c r="M64" s="532">
        <v>0</v>
      </c>
      <c r="N64" s="532">
        <f t="shared" si="1"/>
        <v>1812915</v>
      </c>
      <c r="O64" s="532">
        <v>1764415</v>
      </c>
      <c r="FA64"/>
    </row>
    <row r="65" spans="1:157" ht="24">
      <c r="A65">
        <v>61</v>
      </c>
      <c r="B65" s="533" t="s">
        <v>643</v>
      </c>
      <c r="C65" s="499">
        <v>42000</v>
      </c>
      <c r="D65" s="499">
        <v>42000</v>
      </c>
      <c r="E65" s="509" t="s">
        <v>692</v>
      </c>
      <c r="H65" s="291"/>
      <c r="I65" s="533" t="s">
        <v>643</v>
      </c>
      <c r="J65" s="532">
        <v>0</v>
      </c>
      <c r="K65" s="532">
        <v>15000</v>
      </c>
      <c r="L65" s="532">
        <v>27000</v>
      </c>
      <c r="M65" s="532">
        <v>0</v>
      </c>
      <c r="N65" s="532">
        <f t="shared" si="1"/>
        <v>42000</v>
      </c>
      <c r="O65" s="532">
        <v>42000</v>
      </c>
      <c r="FA65"/>
    </row>
    <row r="66" spans="1:157" ht="40.799999999999997">
      <c r="A66">
        <v>62</v>
      </c>
      <c r="B66" s="533" t="s">
        <v>165</v>
      </c>
      <c r="C66" s="499">
        <v>345000</v>
      </c>
      <c r="D66" s="499">
        <v>345000</v>
      </c>
      <c r="E66" s="509" t="s">
        <v>166</v>
      </c>
      <c r="H66" s="291"/>
      <c r="I66" s="533" t="s">
        <v>165</v>
      </c>
      <c r="J66" s="532">
        <v>166000</v>
      </c>
      <c r="K66" s="532">
        <v>179000</v>
      </c>
      <c r="L66" s="532">
        <v>0</v>
      </c>
      <c r="M66" s="532">
        <v>0</v>
      </c>
      <c r="N66" s="532">
        <f t="shared" si="1"/>
        <v>345000</v>
      </c>
      <c r="O66" s="532">
        <v>179000</v>
      </c>
      <c r="FA66"/>
    </row>
    <row r="67" spans="1:157" ht="132.6">
      <c r="A67">
        <v>63</v>
      </c>
      <c r="B67" s="538" t="s">
        <v>793</v>
      </c>
      <c r="C67" s="532">
        <v>4039000</v>
      </c>
      <c r="D67" s="528">
        <v>5257000</v>
      </c>
      <c r="E67" s="507" t="s">
        <v>703</v>
      </c>
      <c r="H67" s="291"/>
      <c r="I67" s="538" t="s">
        <v>793</v>
      </c>
      <c r="J67" s="532"/>
      <c r="K67" s="532">
        <v>600000</v>
      </c>
      <c r="L67" s="532">
        <v>1624000</v>
      </c>
      <c r="M67" s="532">
        <v>1815000</v>
      </c>
      <c r="N67" s="532">
        <f t="shared" si="1"/>
        <v>4039000</v>
      </c>
      <c r="O67" s="532">
        <v>4039000</v>
      </c>
      <c r="FA67"/>
    </row>
    <row r="68" spans="1:157" ht="20.399999999999999">
      <c r="A68">
        <v>64</v>
      </c>
      <c r="B68" s="533" t="s">
        <v>232</v>
      </c>
      <c r="C68" s="499">
        <v>0</v>
      </c>
      <c r="D68" s="499">
        <v>3000000</v>
      </c>
      <c r="E68" s="509" t="s">
        <v>172</v>
      </c>
      <c r="H68" s="291"/>
      <c r="I68" s="533" t="s">
        <v>232</v>
      </c>
      <c r="J68" s="532">
        <v>0</v>
      </c>
      <c r="K68" s="532">
        <v>0</v>
      </c>
      <c r="L68" s="532">
        <v>0</v>
      </c>
      <c r="M68" s="532">
        <v>0</v>
      </c>
      <c r="N68" s="532">
        <f t="shared" si="1"/>
        <v>0</v>
      </c>
      <c r="O68" s="532">
        <v>0</v>
      </c>
      <c r="FA68"/>
    </row>
    <row r="69" spans="1:157" ht="20.399999999999999">
      <c r="A69">
        <v>65</v>
      </c>
      <c r="B69" s="533" t="s">
        <v>233</v>
      </c>
      <c r="C69" s="499">
        <v>0</v>
      </c>
      <c r="D69" s="499">
        <v>3000000</v>
      </c>
      <c r="E69" s="509" t="s">
        <v>172</v>
      </c>
      <c r="H69" s="291"/>
      <c r="I69" s="533" t="s">
        <v>233</v>
      </c>
      <c r="J69" s="532">
        <v>0</v>
      </c>
      <c r="K69" s="532">
        <v>0</v>
      </c>
      <c r="L69" s="532">
        <v>0</v>
      </c>
      <c r="M69" s="532">
        <v>0</v>
      </c>
      <c r="N69" s="532">
        <f t="shared" ref="N69:N100" si="2">SUM(J69:M69)</f>
        <v>0</v>
      </c>
      <c r="O69" s="532">
        <v>0</v>
      </c>
      <c r="FA69"/>
    </row>
    <row r="70" spans="1:157" ht="20.399999999999999">
      <c r="A70">
        <v>66</v>
      </c>
      <c r="B70" s="533" t="s">
        <v>234</v>
      </c>
      <c r="C70" s="499">
        <v>0</v>
      </c>
      <c r="D70" s="499">
        <v>2000000</v>
      </c>
      <c r="E70" s="509" t="s">
        <v>172</v>
      </c>
      <c r="H70" s="291"/>
      <c r="I70" s="533" t="s">
        <v>234</v>
      </c>
      <c r="J70" s="532">
        <v>0</v>
      </c>
      <c r="K70" s="532">
        <v>0</v>
      </c>
      <c r="L70" s="532">
        <v>0</v>
      </c>
      <c r="M70" s="532">
        <v>0</v>
      </c>
      <c r="N70" s="532">
        <f t="shared" si="2"/>
        <v>0</v>
      </c>
      <c r="O70" s="532">
        <v>0</v>
      </c>
      <c r="FA70"/>
    </row>
    <row r="71" spans="1:157" ht="40.799999999999997">
      <c r="A71">
        <v>67</v>
      </c>
      <c r="B71" s="534" t="s">
        <v>716</v>
      </c>
      <c r="C71" s="531">
        <v>937000</v>
      </c>
      <c r="D71" s="499">
        <v>937000</v>
      </c>
      <c r="E71" s="507" t="s">
        <v>632</v>
      </c>
      <c r="H71" s="291"/>
      <c r="I71" s="534" t="s">
        <v>716</v>
      </c>
      <c r="J71" s="532">
        <v>0</v>
      </c>
      <c r="K71" s="532">
        <v>0</v>
      </c>
      <c r="L71" s="532">
        <v>437000</v>
      </c>
      <c r="M71" s="532">
        <v>500000</v>
      </c>
      <c r="N71" s="532">
        <f t="shared" si="2"/>
        <v>937000</v>
      </c>
      <c r="O71" s="532">
        <v>937000</v>
      </c>
      <c r="FA71"/>
    </row>
    <row r="72" spans="1:157" ht="30.6">
      <c r="A72">
        <v>68</v>
      </c>
      <c r="B72" s="538" t="s">
        <v>711</v>
      </c>
      <c r="C72" s="532">
        <v>1818334</v>
      </c>
      <c r="D72" s="528">
        <v>1818334</v>
      </c>
      <c r="E72" s="507" t="s">
        <v>710</v>
      </c>
      <c r="H72" s="291"/>
      <c r="I72" s="538" t="s">
        <v>711</v>
      </c>
      <c r="J72" s="532">
        <v>1019626</v>
      </c>
      <c r="K72" s="532">
        <v>649810</v>
      </c>
      <c r="L72" s="532">
        <v>145089</v>
      </c>
      <c r="M72" s="532">
        <v>3809</v>
      </c>
      <c r="N72" s="532">
        <f t="shared" si="2"/>
        <v>1818334</v>
      </c>
      <c r="O72" s="532">
        <v>798708</v>
      </c>
      <c r="FA72"/>
    </row>
    <row r="73" spans="1:157" ht="40.799999999999997">
      <c r="A73">
        <v>69</v>
      </c>
      <c r="B73" s="537" t="s">
        <v>141</v>
      </c>
      <c r="C73" s="499">
        <v>600000</v>
      </c>
      <c r="D73" s="499">
        <v>5887181</v>
      </c>
      <c r="E73" s="511" t="s">
        <v>135</v>
      </c>
      <c r="H73" s="291"/>
      <c r="I73" s="537" t="s">
        <v>141</v>
      </c>
      <c r="J73" s="532">
        <v>0</v>
      </c>
      <c r="K73" s="532">
        <v>0</v>
      </c>
      <c r="L73" s="532">
        <v>0</v>
      </c>
      <c r="M73" s="532">
        <v>600000</v>
      </c>
      <c r="N73" s="532">
        <f t="shared" si="2"/>
        <v>600000</v>
      </c>
      <c r="O73" s="532">
        <v>600000</v>
      </c>
      <c r="FA73"/>
    </row>
    <row r="74" spans="1:157" ht="61.2">
      <c r="A74">
        <v>70</v>
      </c>
      <c r="B74" s="537" t="s">
        <v>164</v>
      </c>
      <c r="C74" s="499">
        <v>0</v>
      </c>
      <c r="D74" s="499">
        <v>682000</v>
      </c>
      <c r="E74" s="511" t="s">
        <v>639</v>
      </c>
      <c r="H74" s="291"/>
      <c r="I74" s="537" t="s">
        <v>164</v>
      </c>
      <c r="J74" s="532">
        <v>0</v>
      </c>
      <c r="K74" s="532">
        <v>0</v>
      </c>
      <c r="L74" s="532">
        <v>0</v>
      </c>
      <c r="M74" s="532">
        <v>0</v>
      </c>
      <c r="N74" s="532">
        <f t="shared" si="2"/>
        <v>0</v>
      </c>
      <c r="O74" s="532">
        <v>0</v>
      </c>
      <c r="FA74"/>
    </row>
    <row r="75" spans="1:157" ht="30.6">
      <c r="A75">
        <v>71</v>
      </c>
      <c r="B75" s="540" t="s">
        <v>739</v>
      </c>
      <c r="C75" s="527">
        <v>184580</v>
      </c>
      <c r="D75" s="527">
        <v>14372940</v>
      </c>
      <c r="E75" s="505" t="s">
        <v>710</v>
      </c>
      <c r="H75" s="291"/>
      <c r="I75" s="540" t="s">
        <v>739</v>
      </c>
      <c r="J75" s="532">
        <v>0</v>
      </c>
      <c r="K75" s="532">
        <v>0</v>
      </c>
      <c r="L75" s="532">
        <v>0</v>
      </c>
      <c r="M75" s="532">
        <v>184580</v>
      </c>
      <c r="N75" s="532">
        <f t="shared" si="2"/>
        <v>184580</v>
      </c>
      <c r="O75" s="532">
        <v>184580</v>
      </c>
      <c r="FA75"/>
    </row>
    <row r="76" spans="1:157" ht="40.799999999999997">
      <c r="A76">
        <v>72</v>
      </c>
      <c r="B76" s="533" t="s">
        <v>167</v>
      </c>
      <c r="C76" s="499">
        <v>3007600</v>
      </c>
      <c r="D76" s="499">
        <v>15563300</v>
      </c>
      <c r="E76" s="509" t="s">
        <v>638</v>
      </c>
      <c r="H76" s="291"/>
      <c r="I76" s="533" t="s">
        <v>167</v>
      </c>
      <c r="J76" s="532">
        <v>0</v>
      </c>
      <c r="K76" s="532">
        <v>0</v>
      </c>
      <c r="L76" s="532">
        <v>0</v>
      </c>
      <c r="M76" s="532">
        <v>3007600</v>
      </c>
      <c r="N76" s="532">
        <f t="shared" si="2"/>
        <v>3007600</v>
      </c>
      <c r="O76" s="532">
        <v>3007600</v>
      </c>
      <c r="FA76"/>
    </row>
    <row r="77" spans="1:157" ht="20.399999999999999">
      <c r="A77">
        <v>73</v>
      </c>
      <c r="B77" s="533" t="s">
        <v>106</v>
      </c>
      <c r="C77" s="499">
        <v>38735810</v>
      </c>
      <c r="D77" s="499">
        <v>64915430</v>
      </c>
      <c r="E77" s="509" t="s">
        <v>122</v>
      </c>
      <c r="H77" s="291"/>
      <c r="I77" s="533" t="s">
        <v>106</v>
      </c>
      <c r="J77" s="532">
        <v>5324560</v>
      </c>
      <c r="K77" s="532">
        <v>5172290</v>
      </c>
      <c r="L77" s="532">
        <v>9387680</v>
      </c>
      <c r="M77" s="532">
        <v>18851280</v>
      </c>
      <c r="N77" s="532">
        <f t="shared" si="2"/>
        <v>38735810</v>
      </c>
      <c r="O77" s="532">
        <v>33411250</v>
      </c>
      <c r="FA77"/>
    </row>
    <row r="78" spans="1:157" ht="20.399999999999999">
      <c r="A78">
        <v>74</v>
      </c>
      <c r="B78" s="536" t="s">
        <v>680</v>
      </c>
      <c r="C78" s="532">
        <v>24000</v>
      </c>
      <c r="D78" s="528">
        <v>24000</v>
      </c>
      <c r="E78" s="504" t="s">
        <v>678</v>
      </c>
      <c r="H78" s="291"/>
      <c r="I78" s="538" t="s">
        <v>680</v>
      </c>
      <c r="J78" s="532">
        <v>0</v>
      </c>
      <c r="K78" s="532">
        <v>0</v>
      </c>
      <c r="L78" s="532">
        <v>0</v>
      </c>
      <c r="M78" s="532">
        <v>24000</v>
      </c>
      <c r="N78" s="532">
        <f t="shared" si="2"/>
        <v>24000</v>
      </c>
      <c r="O78" s="532">
        <v>24000</v>
      </c>
      <c r="FA78"/>
    </row>
    <row r="79" spans="1:157" ht="30.6">
      <c r="A79">
        <v>75</v>
      </c>
      <c r="B79" s="533" t="s">
        <v>550</v>
      </c>
      <c r="C79" s="499">
        <v>8938660</v>
      </c>
      <c r="D79" s="499">
        <v>9510660</v>
      </c>
      <c r="E79" s="509" t="s">
        <v>122</v>
      </c>
      <c r="H79" s="291"/>
      <c r="I79" s="533" t="s">
        <v>550</v>
      </c>
      <c r="J79" s="532">
        <v>350000</v>
      </c>
      <c r="K79" s="532">
        <v>265000</v>
      </c>
      <c r="L79" s="532">
        <v>2400000</v>
      </c>
      <c r="M79" s="532">
        <v>5923660</v>
      </c>
      <c r="N79" s="532">
        <f t="shared" si="2"/>
        <v>8938660</v>
      </c>
      <c r="O79" s="532">
        <v>8588660</v>
      </c>
      <c r="FA79"/>
    </row>
    <row r="80" spans="1:157" ht="40.799999999999997">
      <c r="A80">
        <v>76</v>
      </c>
      <c r="B80" s="537" t="s">
        <v>145</v>
      </c>
      <c r="C80" s="499">
        <v>0</v>
      </c>
      <c r="D80" s="499">
        <v>3612630</v>
      </c>
      <c r="E80" s="507" t="s">
        <v>757</v>
      </c>
      <c r="H80" s="291"/>
      <c r="I80" s="537" t="s">
        <v>145</v>
      </c>
      <c r="J80" s="532">
        <v>0</v>
      </c>
      <c r="K80" s="532">
        <v>0</v>
      </c>
      <c r="L80" s="532">
        <v>0</v>
      </c>
      <c r="M80" s="532">
        <v>0</v>
      </c>
      <c r="N80" s="532">
        <f t="shared" si="2"/>
        <v>0</v>
      </c>
      <c r="O80" s="532">
        <v>0</v>
      </c>
      <c r="FA80"/>
    </row>
    <row r="81" spans="1:157" ht="40.799999999999997">
      <c r="A81">
        <v>77</v>
      </c>
      <c r="B81" s="533" t="s">
        <v>162</v>
      </c>
      <c r="C81" s="499">
        <v>0</v>
      </c>
      <c r="D81" s="499">
        <v>3612630</v>
      </c>
      <c r="E81" s="510" t="s">
        <v>639</v>
      </c>
      <c r="H81" s="291"/>
      <c r="I81" s="533" t="s">
        <v>162</v>
      </c>
      <c r="J81" s="532">
        <v>0</v>
      </c>
      <c r="K81" s="532">
        <v>0</v>
      </c>
      <c r="L81" s="532">
        <v>0</v>
      </c>
      <c r="M81" s="532">
        <v>0</v>
      </c>
      <c r="N81" s="532">
        <f t="shared" si="2"/>
        <v>0</v>
      </c>
      <c r="O81" s="532">
        <v>0</v>
      </c>
      <c r="FA81"/>
    </row>
    <row r="82" spans="1:157" ht="40.799999999999997">
      <c r="A82">
        <v>78</v>
      </c>
      <c r="B82" s="533" t="s">
        <v>153</v>
      </c>
      <c r="C82" s="499">
        <v>0</v>
      </c>
      <c r="D82" s="499">
        <v>3612630</v>
      </c>
      <c r="E82" s="509" t="s">
        <v>694</v>
      </c>
      <c r="H82" s="291"/>
      <c r="I82" s="533" t="s">
        <v>153</v>
      </c>
      <c r="J82" s="532">
        <v>0</v>
      </c>
      <c r="K82" s="532">
        <v>0</v>
      </c>
      <c r="L82" s="532">
        <v>0</v>
      </c>
      <c r="M82" s="532">
        <v>0</v>
      </c>
      <c r="N82" s="532">
        <f t="shared" si="2"/>
        <v>0</v>
      </c>
      <c r="O82" s="532">
        <v>0</v>
      </c>
      <c r="FA82"/>
    </row>
    <row r="83" spans="1:157" ht="24">
      <c r="A83">
        <v>79</v>
      </c>
      <c r="B83" s="540" t="s">
        <v>738</v>
      </c>
      <c r="C83" s="527">
        <v>0</v>
      </c>
      <c r="D83" s="527">
        <v>1351200</v>
      </c>
      <c r="E83" s="504" t="s">
        <v>737</v>
      </c>
      <c r="H83" s="291"/>
      <c r="I83" s="540" t="s">
        <v>738</v>
      </c>
      <c r="J83" s="532">
        <v>0</v>
      </c>
      <c r="K83" s="532">
        <v>0</v>
      </c>
      <c r="L83" s="532">
        <v>0</v>
      </c>
      <c r="M83" s="532">
        <v>0</v>
      </c>
      <c r="N83" s="532">
        <f t="shared" si="2"/>
        <v>0</v>
      </c>
      <c r="O83" s="532">
        <v>0</v>
      </c>
      <c r="FA83"/>
    </row>
    <row r="84" spans="1:157" ht="20.399999999999999">
      <c r="A84">
        <v>80</v>
      </c>
      <c r="B84" s="540" t="s">
        <v>742</v>
      </c>
      <c r="C84" s="527">
        <v>4072046</v>
      </c>
      <c r="D84" s="527">
        <v>4350928</v>
      </c>
      <c r="E84" s="504" t="s">
        <v>710</v>
      </c>
      <c r="H84" s="291"/>
      <c r="I84" s="540" t="s">
        <v>742</v>
      </c>
      <c r="J84" s="532">
        <v>200000</v>
      </c>
      <c r="K84" s="532">
        <v>600000</v>
      </c>
      <c r="L84" s="532">
        <v>850000</v>
      </c>
      <c r="M84" s="532">
        <v>2422046</v>
      </c>
      <c r="N84" s="532">
        <f t="shared" si="2"/>
        <v>4072046</v>
      </c>
      <c r="O84" s="532">
        <v>3872046</v>
      </c>
      <c r="FA84"/>
    </row>
    <row r="85" spans="1:157" ht="30.6">
      <c r="A85">
        <v>81</v>
      </c>
      <c r="B85" s="538" t="s">
        <v>653</v>
      </c>
      <c r="C85" s="532">
        <v>4453</v>
      </c>
      <c r="D85" s="528">
        <v>4453</v>
      </c>
      <c r="E85" s="507" t="s">
        <v>632</v>
      </c>
      <c r="H85" s="291"/>
      <c r="I85" s="536" t="s">
        <v>653</v>
      </c>
      <c r="J85" s="532">
        <v>453</v>
      </c>
      <c r="K85" s="532">
        <v>1500</v>
      </c>
      <c r="L85" s="532">
        <v>2500</v>
      </c>
      <c r="M85" s="532">
        <v>0</v>
      </c>
      <c r="N85" s="532">
        <f t="shared" si="2"/>
        <v>4453</v>
      </c>
      <c r="O85" s="532">
        <v>4000</v>
      </c>
      <c r="FA85"/>
    </row>
    <row r="86" spans="1:157" ht="20.399999999999999">
      <c r="A86">
        <v>82</v>
      </c>
      <c r="B86" s="533" t="s">
        <v>173</v>
      </c>
      <c r="C86" s="499">
        <v>0</v>
      </c>
      <c r="D86" s="499">
        <v>17220</v>
      </c>
      <c r="E86" s="509" t="s">
        <v>175</v>
      </c>
      <c r="H86" s="291"/>
      <c r="I86" s="533" t="s">
        <v>173</v>
      </c>
      <c r="J86" s="532">
        <v>0</v>
      </c>
      <c r="K86" s="532">
        <v>0</v>
      </c>
      <c r="L86" s="532">
        <v>0</v>
      </c>
      <c r="M86" s="532">
        <v>0</v>
      </c>
      <c r="N86" s="532">
        <f t="shared" si="2"/>
        <v>0</v>
      </c>
      <c r="O86" s="532">
        <v>0</v>
      </c>
      <c r="FA86"/>
    </row>
    <row r="87" spans="1:157">
      <c r="A87">
        <v>83</v>
      </c>
      <c r="B87" s="540" t="s">
        <v>741</v>
      </c>
      <c r="C87" s="527">
        <v>120000</v>
      </c>
      <c r="D87" s="527">
        <v>120000</v>
      </c>
      <c r="E87" s="504" t="s">
        <v>740</v>
      </c>
      <c r="H87" s="291"/>
      <c r="I87" s="540" t="s">
        <v>741</v>
      </c>
      <c r="J87" s="532">
        <v>0</v>
      </c>
      <c r="K87" s="532">
        <v>0</v>
      </c>
      <c r="L87" s="532">
        <v>0</v>
      </c>
      <c r="M87" s="532">
        <v>120000</v>
      </c>
      <c r="N87" s="532">
        <f t="shared" si="2"/>
        <v>120000</v>
      </c>
      <c r="O87" s="532">
        <v>120000</v>
      </c>
      <c r="FA87"/>
    </row>
    <row r="88" spans="1:157" ht="40.799999999999997">
      <c r="A88">
        <v>84</v>
      </c>
      <c r="B88" s="533" t="s">
        <v>118</v>
      </c>
      <c r="C88" s="499">
        <v>107651.66666666667</v>
      </c>
      <c r="D88" s="499">
        <v>842161.66666666663</v>
      </c>
      <c r="E88" s="509" t="s">
        <v>117</v>
      </c>
      <c r="H88" s="291"/>
      <c r="I88" s="533" t="s">
        <v>118</v>
      </c>
      <c r="J88" s="532">
        <v>1000</v>
      </c>
      <c r="K88" s="532">
        <v>16666.666666666668</v>
      </c>
      <c r="L88" s="532">
        <v>39985</v>
      </c>
      <c r="M88" s="532">
        <v>50000</v>
      </c>
      <c r="N88" s="532">
        <f t="shared" si="2"/>
        <v>107651.66666666667</v>
      </c>
      <c r="O88" s="532">
        <v>106651.66666666667</v>
      </c>
      <c r="FA88"/>
    </row>
    <row r="89" spans="1:157" ht="51">
      <c r="A89">
        <v>85</v>
      </c>
      <c r="B89" s="534" t="s">
        <v>128</v>
      </c>
      <c r="C89" s="531">
        <v>20709.666666666668</v>
      </c>
      <c r="D89" s="499">
        <v>20709.666666666668</v>
      </c>
      <c r="E89" s="507" t="s">
        <v>639</v>
      </c>
      <c r="H89" s="291"/>
      <c r="I89" s="534" t="s">
        <v>128</v>
      </c>
      <c r="J89" s="532">
        <v>1000</v>
      </c>
      <c r="K89" s="532">
        <v>16666.666666666668</v>
      </c>
      <c r="L89" s="532">
        <v>3042.9999999999995</v>
      </c>
      <c r="M89" s="532">
        <v>0</v>
      </c>
      <c r="N89" s="532">
        <f t="shared" si="2"/>
        <v>20709.666666666668</v>
      </c>
      <c r="O89" s="532">
        <v>19709.666666666668</v>
      </c>
      <c r="FA89"/>
    </row>
    <row r="90" spans="1:157" ht="40.799999999999997">
      <c r="A90">
        <v>86</v>
      </c>
      <c r="B90" s="534" t="s">
        <v>124</v>
      </c>
      <c r="C90" s="531">
        <v>20709.666666666668</v>
      </c>
      <c r="D90" s="499">
        <v>20709.666666666668</v>
      </c>
      <c r="E90" s="507" t="s">
        <v>694</v>
      </c>
      <c r="H90" s="291"/>
      <c r="I90" s="534" t="s">
        <v>124</v>
      </c>
      <c r="J90" s="532">
        <v>1000</v>
      </c>
      <c r="K90" s="532">
        <v>16666.666666666668</v>
      </c>
      <c r="L90" s="532">
        <v>3042.9999999999995</v>
      </c>
      <c r="M90" s="532">
        <v>0</v>
      </c>
      <c r="N90" s="532">
        <f t="shared" si="2"/>
        <v>20709.666666666668</v>
      </c>
      <c r="O90" s="532">
        <v>19709.666666666668</v>
      </c>
      <c r="FA90"/>
    </row>
    <row r="91" spans="1:157" ht="40.799999999999997">
      <c r="A91">
        <v>87</v>
      </c>
      <c r="B91" s="534" t="s">
        <v>736</v>
      </c>
      <c r="C91" s="531">
        <v>528700</v>
      </c>
      <c r="D91" s="499">
        <v>1428700</v>
      </c>
      <c r="E91" s="507" t="s">
        <v>710</v>
      </c>
      <c r="H91" s="291"/>
      <c r="I91" s="534" t="s">
        <v>736</v>
      </c>
      <c r="J91" s="532">
        <v>0</v>
      </c>
      <c r="K91" s="532">
        <v>0</v>
      </c>
      <c r="L91" s="532">
        <v>0</v>
      </c>
      <c r="M91" s="532">
        <v>528700</v>
      </c>
      <c r="N91" s="532">
        <f t="shared" si="2"/>
        <v>528700</v>
      </c>
      <c r="O91" s="532">
        <v>528700</v>
      </c>
      <c r="FA91"/>
    </row>
    <row r="92" spans="1:157" ht="30.6">
      <c r="A92">
        <v>88</v>
      </c>
      <c r="B92" s="534" t="s">
        <v>718</v>
      </c>
      <c r="C92" s="531">
        <v>20865</v>
      </c>
      <c r="D92" s="499">
        <v>20865</v>
      </c>
      <c r="E92" s="507" t="s">
        <v>717</v>
      </c>
      <c r="H92" s="291"/>
      <c r="I92" s="534" t="s">
        <v>718</v>
      </c>
      <c r="J92" s="532">
        <v>0</v>
      </c>
      <c r="K92" s="532">
        <v>20865</v>
      </c>
      <c r="L92" s="532">
        <v>0</v>
      </c>
      <c r="M92" s="532">
        <v>0</v>
      </c>
      <c r="N92" s="532">
        <f t="shared" si="2"/>
        <v>20865</v>
      </c>
      <c r="O92" s="532">
        <v>20865</v>
      </c>
      <c r="FA92"/>
    </row>
    <row r="93" spans="1:157" ht="40.799999999999997">
      <c r="A93">
        <v>89</v>
      </c>
      <c r="B93" s="538" t="s">
        <v>709</v>
      </c>
      <c r="C93" s="532">
        <v>4337230</v>
      </c>
      <c r="D93" s="528">
        <v>4344402</v>
      </c>
      <c r="E93" s="507" t="s">
        <v>708</v>
      </c>
      <c r="H93" s="291"/>
      <c r="I93" s="538" t="s">
        <v>709</v>
      </c>
      <c r="J93" s="532">
        <v>569348</v>
      </c>
      <c r="K93" s="532">
        <v>1470861</v>
      </c>
      <c r="L93" s="532">
        <v>1424210</v>
      </c>
      <c r="M93" s="532">
        <v>872811</v>
      </c>
      <c r="N93" s="532">
        <f t="shared" si="2"/>
        <v>4337230</v>
      </c>
      <c r="O93" s="532">
        <v>3767882</v>
      </c>
      <c r="FA93"/>
    </row>
    <row r="94" spans="1:157" ht="24">
      <c r="A94">
        <v>90</v>
      </c>
      <c r="B94" s="533" t="s">
        <v>104</v>
      </c>
      <c r="C94" s="499">
        <v>0</v>
      </c>
      <c r="D94" s="499">
        <v>69300000</v>
      </c>
      <c r="E94" s="509" t="s">
        <v>237</v>
      </c>
      <c r="H94" s="291"/>
      <c r="I94" s="533" t="s">
        <v>104</v>
      </c>
      <c r="J94" s="532">
        <v>0</v>
      </c>
      <c r="K94" s="532">
        <v>0</v>
      </c>
      <c r="L94" s="532">
        <v>0</v>
      </c>
      <c r="M94" s="532">
        <v>0</v>
      </c>
      <c r="N94" s="532">
        <f t="shared" si="2"/>
        <v>0</v>
      </c>
      <c r="O94" s="532">
        <v>0</v>
      </c>
      <c r="FA94"/>
    </row>
    <row r="95" spans="1:157" ht="30.6">
      <c r="A95">
        <v>91</v>
      </c>
      <c r="B95" s="536" t="s">
        <v>658</v>
      </c>
      <c r="C95" s="532">
        <v>0</v>
      </c>
      <c r="D95" s="528">
        <v>120000</v>
      </c>
      <c r="E95" s="504" t="s">
        <v>657</v>
      </c>
      <c r="H95" s="291"/>
      <c r="I95" s="538" t="s">
        <v>658</v>
      </c>
      <c r="J95" s="532">
        <v>0</v>
      </c>
      <c r="K95" s="532">
        <v>0</v>
      </c>
      <c r="L95" s="532">
        <v>0</v>
      </c>
      <c r="M95" s="532">
        <v>0</v>
      </c>
      <c r="N95" s="532">
        <f t="shared" si="2"/>
        <v>0</v>
      </c>
      <c r="O95" s="532">
        <v>0</v>
      </c>
      <c r="FA95"/>
    </row>
    <row r="96" spans="1:157" ht="36">
      <c r="A96">
        <v>92</v>
      </c>
      <c r="B96" s="536" t="s">
        <v>701</v>
      </c>
      <c r="C96" s="532">
        <v>0</v>
      </c>
      <c r="D96" s="528">
        <v>1614000</v>
      </c>
      <c r="E96" s="504" t="s">
        <v>761</v>
      </c>
      <c r="H96" s="291"/>
      <c r="I96" s="533" t="s">
        <v>701</v>
      </c>
      <c r="J96" s="532">
        <v>0</v>
      </c>
      <c r="K96" s="532">
        <v>0</v>
      </c>
      <c r="L96" s="532">
        <v>0</v>
      </c>
      <c r="M96" s="532">
        <v>0</v>
      </c>
      <c r="N96" s="532">
        <f t="shared" si="2"/>
        <v>0</v>
      </c>
      <c r="O96" s="532">
        <v>0</v>
      </c>
      <c r="FA96"/>
    </row>
    <row r="97" spans="1:157" ht="40.799999999999997">
      <c r="A97">
        <v>93</v>
      </c>
      <c r="B97" s="540" t="s">
        <v>744</v>
      </c>
      <c r="C97" s="527">
        <v>3275721</v>
      </c>
      <c r="D97" s="527">
        <v>3897965</v>
      </c>
      <c r="E97" s="504" t="s">
        <v>743</v>
      </c>
      <c r="H97" s="291"/>
      <c r="I97" s="540" t="s">
        <v>744</v>
      </c>
      <c r="J97" s="532">
        <v>684670</v>
      </c>
      <c r="K97" s="532">
        <v>500000</v>
      </c>
      <c r="L97" s="532">
        <v>927070</v>
      </c>
      <c r="M97" s="532">
        <v>1163981</v>
      </c>
      <c r="N97" s="532">
        <f t="shared" si="2"/>
        <v>3275721</v>
      </c>
      <c r="O97" s="532">
        <v>2591051</v>
      </c>
      <c r="FA97"/>
    </row>
    <row r="98" spans="1:157" ht="40.799999999999997">
      <c r="A98">
        <v>94</v>
      </c>
      <c r="B98" s="534" t="s">
        <v>725</v>
      </c>
      <c r="C98" s="531">
        <v>366</v>
      </c>
      <c r="D98" s="499">
        <v>366</v>
      </c>
      <c r="E98" s="507" t="s">
        <v>724</v>
      </c>
      <c r="H98" s="291"/>
      <c r="I98" s="534" t="s">
        <v>725</v>
      </c>
      <c r="J98" s="532">
        <v>366</v>
      </c>
      <c r="K98" s="532">
        <v>0</v>
      </c>
      <c r="L98" s="532">
        <v>0</v>
      </c>
      <c r="M98" s="532">
        <v>0</v>
      </c>
      <c r="N98" s="532">
        <f t="shared" si="2"/>
        <v>366</v>
      </c>
      <c r="O98" s="532">
        <v>0</v>
      </c>
      <c r="FA98"/>
    </row>
    <row r="99" spans="1:157" ht="122.4">
      <c r="A99">
        <v>95</v>
      </c>
      <c r="B99" s="534" t="s">
        <v>110</v>
      </c>
      <c r="C99" s="529">
        <v>1847924</v>
      </c>
      <c r="D99" s="499">
        <v>1847924</v>
      </c>
      <c r="E99" s="508" t="s">
        <v>111</v>
      </c>
      <c r="H99" s="291"/>
      <c r="I99" s="534" t="s">
        <v>110</v>
      </c>
      <c r="J99" s="532">
        <v>505795</v>
      </c>
      <c r="K99" s="532">
        <v>508366</v>
      </c>
      <c r="L99" s="532">
        <v>642233</v>
      </c>
      <c r="M99" s="532">
        <v>191530</v>
      </c>
      <c r="N99" s="532">
        <f t="shared" si="2"/>
        <v>1847924</v>
      </c>
      <c r="O99" s="532">
        <v>1342129</v>
      </c>
      <c r="FA99"/>
    </row>
    <row r="100" spans="1:157" ht="81.599999999999994">
      <c r="A100">
        <v>96</v>
      </c>
      <c r="B100" s="534" t="s">
        <v>125</v>
      </c>
      <c r="C100" s="529">
        <v>2279750</v>
      </c>
      <c r="D100" s="499">
        <v>2279750</v>
      </c>
      <c r="E100" s="508" t="s">
        <v>126</v>
      </c>
      <c r="H100" s="291"/>
      <c r="I100" s="534" t="s">
        <v>125</v>
      </c>
      <c r="J100" s="532">
        <v>1784246</v>
      </c>
      <c r="K100" s="532">
        <v>359744</v>
      </c>
      <c r="L100" s="532">
        <v>135760</v>
      </c>
      <c r="M100" s="532">
        <v>0</v>
      </c>
      <c r="N100" s="532">
        <f t="shared" si="2"/>
        <v>2279750</v>
      </c>
      <c r="O100" s="532">
        <v>495504</v>
      </c>
      <c r="FA100"/>
    </row>
    <row r="101" spans="1:157" ht="30.6">
      <c r="A101">
        <v>97</v>
      </c>
      <c r="B101" s="540" t="s">
        <v>753</v>
      </c>
      <c r="C101" s="527">
        <v>60000</v>
      </c>
      <c r="D101" s="527">
        <v>1085000</v>
      </c>
      <c r="E101" s="504" t="s">
        <v>752</v>
      </c>
      <c r="H101" s="291"/>
      <c r="I101" s="540" t="s">
        <v>753</v>
      </c>
      <c r="J101" s="532">
        <v>0</v>
      </c>
      <c r="K101" s="532">
        <v>0</v>
      </c>
      <c r="L101" s="532">
        <v>0</v>
      </c>
      <c r="M101" s="532">
        <v>60000</v>
      </c>
      <c r="N101" s="532">
        <f t="shared" ref="N101:N132" si="3">SUM(J101:M101)</f>
        <v>60000</v>
      </c>
      <c r="O101" s="532">
        <v>60000</v>
      </c>
      <c r="FA101"/>
    </row>
    <row r="102" spans="1:157" ht="24">
      <c r="A102">
        <v>98</v>
      </c>
      <c r="B102" s="533" t="s">
        <v>645</v>
      </c>
      <c r="C102" s="499">
        <v>3420250</v>
      </c>
      <c r="D102" s="499">
        <v>3420250</v>
      </c>
      <c r="E102" s="510" t="s">
        <v>644</v>
      </c>
      <c r="H102" s="291"/>
      <c r="I102" s="533" t="s">
        <v>645</v>
      </c>
      <c r="J102" s="532">
        <v>0</v>
      </c>
      <c r="K102" s="532">
        <v>0</v>
      </c>
      <c r="L102" s="532">
        <v>0</v>
      </c>
      <c r="M102" s="532">
        <v>3420250</v>
      </c>
      <c r="N102" s="532">
        <f t="shared" si="3"/>
        <v>3420250</v>
      </c>
      <c r="O102" s="532">
        <v>3420250</v>
      </c>
      <c r="FA102"/>
    </row>
    <row r="103" spans="1:157" ht="30.6">
      <c r="A103">
        <v>99</v>
      </c>
      <c r="B103" s="540" t="s">
        <v>199</v>
      </c>
      <c r="C103" s="527">
        <v>3350000</v>
      </c>
      <c r="D103" s="527">
        <v>18720000</v>
      </c>
      <c r="E103" s="506" t="s">
        <v>749</v>
      </c>
      <c r="H103" s="291"/>
      <c r="I103" s="540" t="s">
        <v>199</v>
      </c>
      <c r="J103" s="532">
        <v>0</v>
      </c>
      <c r="K103" s="532">
        <v>0</v>
      </c>
      <c r="L103" s="532">
        <v>0</v>
      </c>
      <c r="M103" s="532">
        <v>3350000</v>
      </c>
      <c r="N103" s="532">
        <f t="shared" si="3"/>
        <v>3350000</v>
      </c>
      <c r="O103" s="532">
        <v>3350000</v>
      </c>
      <c r="FA103"/>
    </row>
    <row r="104" spans="1:157">
      <c r="A104">
        <v>100</v>
      </c>
      <c r="B104" s="534" t="s">
        <v>641</v>
      </c>
      <c r="C104" s="529">
        <v>2477000</v>
      </c>
      <c r="D104" s="499">
        <v>3276262</v>
      </c>
      <c r="E104" s="508" t="s">
        <v>142</v>
      </c>
      <c r="H104" s="291"/>
      <c r="I104" s="534" t="s">
        <v>641</v>
      </c>
      <c r="J104" s="532">
        <v>0</v>
      </c>
      <c r="K104" s="532">
        <v>0</v>
      </c>
      <c r="L104" s="532">
        <v>1270000</v>
      </c>
      <c r="M104" s="532">
        <v>1207000</v>
      </c>
      <c r="N104" s="532">
        <f t="shared" si="3"/>
        <v>2477000</v>
      </c>
      <c r="O104" s="532">
        <v>2477000</v>
      </c>
      <c r="FA104"/>
    </row>
    <row r="105" spans="1:157" ht="40.799999999999997">
      <c r="A105">
        <v>101</v>
      </c>
      <c r="B105" s="533" t="s">
        <v>800</v>
      </c>
      <c r="C105" s="499">
        <v>119133000</v>
      </c>
      <c r="D105" s="499">
        <v>274081000</v>
      </c>
      <c r="E105" s="509" t="s">
        <v>696</v>
      </c>
      <c r="H105" s="291"/>
      <c r="I105" s="533" t="s">
        <v>800</v>
      </c>
      <c r="J105" s="532">
        <v>0</v>
      </c>
      <c r="K105" s="532">
        <v>0</v>
      </c>
      <c r="L105" s="532">
        <v>73266000</v>
      </c>
      <c r="M105" s="532">
        <v>45867000</v>
      </c>
      <c r="N105" s="532">
        <f t="shared" si="3"/>
        <v>119133000</v>
      </c>
      <c r="O105" s="532">
        <v>119133000</v>
      </c>
      <c r="FA105"/>
    </row>
    <row r="106" spans="1:157" ht="20.399999999999999">
      <c r="A106">
        <v>102</v>
      </c>
      <c r="B106" s="534" t="s">
        <v>139</v>
      </c>
      <c r="C106" s="529">
        <v>150000</v>
      </c>
      <c r="D106" s="499">
        <v>1617558</v>
      </c>
      <c r="E106" s="507" t="s">
        <v>115</v>
      </c>
      <c r="H106" s="291"/>
      <c r="I106" s="534" t="s">
        <v>139</v>
      </c>
      <c r="J106" s="532">
        <v>0</v>
      </c>
      <c r="K106" s="532">
        <v>0</v>
      </c>
      <c r="L106" s="532">
        <v>0</v>
      </c>
      <c r="M106" s="532">
        <v>150000</v>
      </c>
      <c r="N106" s="532">
        <f t="shared" si="3"/>
        <v>150000</v>
      </c>
      <c r="O106" s="532">
        <v>150000</v>
      </c>
      <c r="FA106"/>
    </row>
    <row r="107" spans="1:157" ht="30.6">
      <c r="A107">
        <v>103</v>
      </c>
      <c r="B107" s="534" t="s">
        <v>149</v>
      </c>
      <c r="C107" s="529">
        <v>150000</v>
      </c>
      <c r="D107" s="499">
        <v>213615</v>
      </c>
      <c r="E107" s="507" t="s">
        <v>150</v>
      </c>
      <c r="H107" s="291"/>
      <c r="I107" s="534" t="s">
        <v>149</v>
      </c>
      <c r="J107" s="532">
        <v>0</v>
      </c>
      <c r="K107" s="532">
        <v>0</v>
      </c>
      <c r="L107" s="532">
        <v>75000</v>
      </c>
      <c r="M107" s="532">
        <v>75000</v>
      </c>
      <c r="N107" s="532">
        <f t="shared" si="3"/>
        <v>150000</v>
      </c>
      <c r="O107" s="532">
        <v>150000</v>
      </c>
      <c r="FA107"/>
    </row>
    <row r="108" spans="1:157" ht="24">
      <c r="A108">
        <v>104</v>
      </c>
      <c r="B108" s="538" t="s">
        <v>659</v>
      </c>
      <c r="C108" s="532">
        <v>62568</v>
      </c>
      <c r="D108" s="528">
        <v>62568</v>
      </c>
      <c r="E108" s="512" t="s">
        <v>695</v>
      </c>
      <c r="H108" s="291"/>
      <c r="I108" s="536" t="s">
        <v>659</v>
      </c>
      <c r="J108" s="532">
        <v>16495</v>
      </c>
      <c r="K108" s="532">
        <v>15517</v>
      </c>
      <c r="L108" s="532">
        <v>15278</v>
      </c>
      <c r="M108" s="532">
        <v>15278</v>
      </c>
      <c r="N108" s="532">
        <f t="shared" si="3"/>
        <v>62568</v>
      </c>
      <c r="O108" s="532">
        <v>46073</v>
      </c>
      <c r="FA108"/>
    </row>
    <row r="109" spans="1:157" ht="36">
      <c r="A109">
        <v>105</v>
      </c>
      <c r="B109" s="538" t="s">
        <v>444</v>
      </c>
      <c r="C109" s="532">
        <v>6963231</v>
      </c>
      <c r="D109" s="528">
        <v>6963231</v>
      </c>
      <c r="E109" s="507" t="s">
        <v>731</v>
      </c>
      <c r="H109" s="291"/>
      <c r="I109" s="538" t="s">
        <v>444</v>
      </c>
      <c r="J109" s="532">
        <v>1554515</v>
      </c>
      <c r="K109" s="532">
        <v>1547470</v>
      </c>
      <c r="L109" s="532">
        <v>3111246</v>
      </c>
      <c r="M109" s="532">
        <v>750000</v>
      </c>
      <c r="N109" s="532">
        <f t="shared" si="3"/>
        <v>6963231</v>
      </c>
      <c r="O109" s="532">
        <v>5408716</v>
      </c>
      <c r="FA109"/>
    </row>
    <row r="110" spans="1:157" ht="24">
      <c r="A110">
        <v>106</v>
      </c>
      <c r="B110" s="536" t="s">
        <v>663</v>
      </c>
      <c r="C110" s="532">
        <v>435150.94199999998</v>
      </c>
      <c r="D110" s="528">
        <v>607485.94200000004</v>
      </c>
      <c r="E110" s="504" t="s">
        <v>662</v>
      </c>
      <c r="H110" s="291"/>
      <c r="I110" s="536" t="s">
        <v>663</v>
      </c>
      <c r="J110" s="532">
        <v>155495.94899999999</v>
      </c>
      <c r="K110" s="532">
        <v>95412.547999999995</v>
      </c>
      <c r="L110" s="532">
        <v>5312.78</v>
      </c>
      <c r="M110" s="532">
        <v>178929.66500000001</v>
      </c>
      <c r="N110" s="532">
        <f t="shared" si="3"/>
        <v>435150.94199999998</v>
      </c>
      <c r="O110" s="532">
        <v>279654.99300000002</v>
      </c>
      <c r="FA110"/>
    </row>
    <row r="111" spans="1:157" ht="20.399999999999999">
      <c r="A111">
        <v>107</v>
      </c>
      <c r="B111" s="536" t="s">
        <v>651</v>
      </c>
      <c r="C111" s="532">
        <v>6806</v>
      </c>
      <c r="D111" s="528">
        <v>6806</v>
      </c>
      <c r="E111" s="504" t="s">
        <v>632</v>
      </c>
      <c r="H111" s="291"/>
      <c r="I111" s="536" t="s">
        <v>651</v>
      </c>
      <c r="J111" s="532">
        <v>677</v>
      </c>
      <c r="K111" s="532">
        <v>474</v>
      </c>
      <c r="L111" s="532">
        <v>5655</v>
      </c>
      <c r="M111" s="532">
        <v>0</v>
      </c>
      <c r="N111" s="532">
        <f t="shared" si="3"/>
        <v>6806</v>
      </c>
      <c r="O111" s="532">
        <v>6129</v>
      </c>
      <c r="FA111"/>
    </row>
    <row r="112" spans="1:157" ht="40.799999999999997">
      <c r="A112">
        <v>108</v>
      </c>
      <c r="B112" s="533" t="s">
        <v>177</v>
      </c>
      <c r="C112" s="499">
        <v>7307</v>
      </c>
      <c r="D112" s="499">
        <v>7307</v>
      </c>
      <c r="E112" s="509" t="s">
        <v>178</v>
      </c>
      <c r="H112" s="291"/>
      <c r="I112" s="533" t="s">
        <v>177</v>
      </c>
      <c r="J112" s="532">
        <v>0</v>
      </c>
      <c r="K112" s="532">
        <v>7307</v>
      </c>
      <c r="L112" s="532">
        <v>0</v>
      </c>
      <c r="M112" s="532">
        <v>0</v>
      </c>
      <c r="N112" s="532">
        <f t="shared" si="3"/>
        <v>7307</v>
      </c>
      <c r="O112" s="532">
        <v>7307</v>
      </c>
      <c r="FA112"/>
    </row>
    <row r="113" spans="1:157" ht="40.799999999999997">
      <c r="A113">
        <v>109</v>
      </c>
      <c r="B113" s="536" t="s">
        <v>649</v>
      </c>
      <c r="C113" s="531">
        <v>367500</v>
      </c>
      <c r="D113" s="499">
        <v>367500</v>
      </c>
      <c r="E113" s="507" t="s">
        <v>113</v>
      </c>
      <c r="H113" s="291"/>
      <c r="I113" s="536" t="s">
        <v>649</v>
      </c>
      <c r="J113" s="532">
        <v>367500</v>
      </c>
      <c r="K113" s="532">
        <v>0</v>
      </c>
      <c r="L113" s="532">
        <v>0</v>
      </c>
      <c r="M113" s="532">
        <v>0</v>
      </c>
      <c r="N113" s="532">
        <f t="shared" si="3"/>
        <v>367500</v>
      </c>
      <c r="O113" s="532">
        <v>0</v>
      </c>
      <c r="FA113"/>
    </row>
    <row r="114" spans="1:157" ht="24">
      <c r="A114">
        <v>110</v>
      </c>
      <c r="B114" s="534" t="s">
        <v>685</v>
      </c>
      <c r="C114" s="532">
        <v>23900</v>
      </c>
      <c r="D114" s="528">
        <v>23900</v>
      </c>
      <c r="E114" s="504" t="s">
        <v>684</v>
      </c>
      <c r="H114" s="291"/>
      <c r="I114" s="533" t="s">
        <v>685</v>
      </c>
      <c r="J114" s="532">
        <v>23900</v>
      </c>
      <c r="K114" s="532">
        <v>0</v>
      </c>
      <c r="L114" s="532">
        <v>0</v>
      </c>
      <c r="M114" s="532">
        <v>0</v>
      </c>
      <c r="N114" s="532">
        <f t="shared" si="3"/>
        <v>23900</v>
      </c>
      <c r="O114" s="532">
        <v>0</v>
      </c>
      <c r="FA114"/>
    </row>
    <row r="115" spans="1:157" ht="48">
      <c r="A115">
        <v>111</v>
      </c>
      <c r="B115" s="534" t="s">
        <v>733</v>
      </c>
      <c r="C115" s="531">
        <v>4413173</v>
      </c>
      <c r="D115" s="499">
        <v>4413173</v>
      </c>
      <c r="E115" s="507" t="s">
        <v>732</v>
      </c>
      <c r="H115" s="291"/>
      <c r="I115" s="534" t="s">
        <v>733</v>
      </c>
      <c r="J115" s="532">
        <v>689983</v>
      </c>
      <c r="K115" s="532">
        <v>577730</v>
      </c>
      <c r="L115" s="532">
        <v>1572730</v>
      </c>
      <c r="M115" s="532">
        <v>1572730</v>
      </c>
      <c r="N115" s="532">
        <f t="shared" si="3"/>
        <v>4413173</v>
      </c>
      <c r="O115" s="532">
        <v>3723190</v>
      </c>
      <c r="FA115"/>
    </row>
    <row r="116" spans="1:157" ht="36">
      <c r="A116">
        <v>112</v>
      </c>
      <c r="B116" s="533" t="s">
        <v>568</v>
      </c>
      <c r="C116" s="499">
        <v>6512284</v>
      </c>
      <c r="D116" s="499">
        <v>16280710</v>
      </c>
      <c r="E116" s="510" t="s">
        <v>687</v>
      </c>
      <c r="H116" s="291"/>
      <c r="I116" s="533" t="s">
        <v>568</v>
      </c>
      <c r="J116" s="532">
        <v>1628071</v>
      </c>
      <c r="K116" s="532">
        <v>1628071</v>
      </c>
      <c r="L116" s="532">
        <v>1628071</v>
      </c>
      <c r="M116" s="532">
        <v>1628071</v>
      </c>
      <c r="N116" s="532">
        <f t="shared" si="3"/>
        <v>6512284</v>
      </c>
      <c r="O116" s="532">
        <v>4884213</v>
      </c>
      <c r="FA116"/>
    </row>
    <row r="117" spans="1:157" ht="36">
      <c r="A117">
        <v>113</v>
      </c>
      <c r="B117" s="533" t="s">
        <v>189</v>
      </c>
      <c r="C117" s="499">
        <v>7414983.2400000002</v>
      </c>
      <c r="D117" s="499">
        <v>7414983.2400000002</v>
      </c>
      <c r="E117" s="510" t="s">
        <v>688</v>
      </c>
      <c r="H117" s="291"/>
      <c r="I117" s="533" t="s">
        <v>189</v>
      </c>
      <c r="J117" s="532">
        <v>7414983.2400000002</v>
      </c>
      <c r="K117" s="532">
        <v>0</v>
      </c>
      <c r="L117" s="532">
        <v>0</v>
      </c>
      <c r="M117" s="532">
        <v>0</v>
      </c>
      <c r="N117" s="532">
        <f t="shared" si="3"/>
        <v>7414983.2400000002</v>
      </c>
      <c r="O117" s="532">
        <v>0</v>
      </c>
      <c r="FA117"/>
    </row>
    <row r="118" spans="1:157" ht="81.599999999999994">
      <c r="A118">
        <v>114</v>
      </c>
      <c r="B118" s="534" t="s">
        <v>723</v>
      </c>
      <c r="C118" s="531">
        <v>199356</v>
      </c>
      <c r="D118" s="499">
        <v>199356</v>
      </c>
      <c r="E118" s="507" t="s">
        <v>722</v>
      </c>
      <c r="H118" s="291"/>
      <c r="I118" s="534" t="s">
        <v>723</v>
      </c>
      <c r="J118" s="532">
        <v>172266</v>
      </c>
      <c r="K118" s="532">
        <v>27090</v>
      </c>
      <c r="L118" s="532">
        <v>0</v>
      </c>
      <c r="M118" s="532">
        <v>0</v>
      </c>
      <c r="N118" s="532">
        <f t="shared" si="3"/>
        <v>199356</v>
      </c>
      <c r="O118" s="532">
        <v>27090</v>
      </c>
      <c r="FA118"/>
    </row>
    <row r="119" spans="1:157" ht="30.6">
      <c r="A119">
        <v>115</v>
      </c>
      <c r="B119" s="533" t="s">
        <v>280</v>
      </c>
      <c r="C119" s="499">
        <v>4479910</v>
      </c>
      <c r="D119" s="499">
        <v>4479910</v>
      </c>
      <c r="E119" s="510" t="s">
        <v>279</v>
      </c>
      <c r="H119" s="291"/>
      <c r="I119" s="533" t="s">
        <v>280</v>
      </c>
      <c r="J119" s="532">
        <v>2479910</v>
      </c>
      <c r="K119" s="532">
        <v>2000000</v>
      </c>
      <c r="L119" s="532">
        <v>0</v>
      </c>
      <c r="M119" s="532">
        <v>0</v>
      </c>
      <c r="N119" s="532">
        <f t="shared" si="3"/>
        <v>4479910</v>
      </c>
      <c r="O119" s="532">
        <v>2000000</v>
      </c>
      <c r="FA119"/>
    </row>
    <row r="120" spans="1:157" ht="40.799999999999997">
      <c r="A120">
        <v>116</v>
      </c>
      <c r="B120" s="536" t="s">
        <v>146</v>
      </c>
      <c r="C120" s="531">
        <v>21131.667000000001</v>
      </c>
      <c r="D120" s="499">
        <v>528289.66700000002</v>
      </c>
      <c r="E120" s="507" t="s">
        <v>757</v>
      </c>
      <c r="H120" s="291"/>
      <c r="I120" s="536" t="s">
        <v>146</v>
      </c>
      <c r="J120" s="532">
        <v>0</v>
      </c>
      <c r="K120" s="532">
        <v>0</v>
      </c>
      <c r="L120" s="532">
        <v>0</v>
      </c>
      <c r="M120" s="532">
        <v>21131.667000000001</v>
      </c>
      <c r="N120" s="532">
        <f t="shared" si="3"/>
        <v>21131.667000000001</v>
      </c>
      <c r="O120" s="532">
        <v>21131.667000000001</v>
      </c>
      <c r="FA120"/>
    </row>
    <row r="121" spans="1:157" ht="40.799999999999997">
      <c r="A121">
        <v>117</v>
      </c>
      <c r="B121" s="534" t="s">
        <v>163</v>
      </c>
      <c r="C121" s="531">
        <v>0</v>
      </c>
      <c r="D121" s="499">
        <v>528289.66999999993</v>
      </c>
      <c r="E121" s="507" t="s">
        <v>639</v>
      </c>
      <c r="H121" s="291"/>
      <c r="I121" s="534" t="s">
        <v>163</v>
      </c>
      <c r="J121" s="532">
        <v>0</v>
      </c>
      <c r="K121" s="532">
        <v>0</v>
      </c>
      <c r="L121" s="532">
        <v>0</v>
      </c>
      <c r="M121" s="532">
        <v>0</v>
      </c>
      <c r="N121" s="532">
        <f t="shared" si="3"/>
        <v>0</v>
      </c>
      <c r="O121" s="532">
        <v>0</v>
      </c>
      <c r="FA121"/>
    </row>
    <row r="122" spans="1:157" ht="40.799999999999997">
      <c r="A122">
        <v>118</v>
      </c>
      <c r="B122" s="534" t="s">
        <v>154</v>
      </c>
      <c r="C122" s="531">
        <v>21131.67</v>
      </c>
      <c r="D122" s="499">
        <v>528289.66999999993</v>
      </c>
      <c r="E122" s="507" t="s">
        <v>694</v>
      </c>
      <c r="H122" s="291"/>
      <c r="I122" s="534" t="s">
        <v>154</v>
      </c>
      <c r="J122" s="532">
        <v>0</v>
      </c>
      <c r="K122" s="532">
        <v>0</v>
      </c>
      <c r="L122" s="532">
        <v>0</v>
      </c>
      <c r="M122" s="532">
        <v>21131.67</v>
      </c>
      <c r="N122" s="532">
        <f t="shared" si="3"/>
        <v>21131.67</v>
      </c>
      <c r="O122" s="532">
        <v>21131.67</v>
      </c>
      <c r="FA122"/>
    </row>
    <row r="123" spans="1:157" ht="71.400000000000006">
      <c r="A123">
        <v>119</v>
      </c>
      <c r="B123" s="534" t="s">
        <v>721</v>
      </c>
      <c r="C123" s="531">
        <v>4000</v>
      </c>
      <c r="D123" s="499">
        <v>6000</v>
      </c>
      <c r="E123" s="507" t="s">
        <v>714</v>
      </c>
      <c r="H123" s="291"/>
      <c r="I123" s="534" t="s">
        <v>721</v>
      </c>
      <c r="J123" s="532">
        <v>0</v>
      </c>
      <c r="K123" s="532">
        <v>0</v>
      </c>
      <c r="L123" s="532">
        <v>2000</v>
      </c>
      <c r="M123" s="532">
        <v>2000</v>
      </c>
      <c r="N123" s="532">
        <f t="shared" si="3"/>
        <v>4000</v>
      </c>
      <c r="O123" s="532">
        <v>4000</v>
      </c>
      <c r="FA123"/>
    </row>
    <row r="124" spans="1:157" ht="112.2">
      <c r="A124">
        <v>120</v>
      </c>
      <c r="B124" s="540" t="s">
        <v>799</v>
      </c>
      <c r="C124" s="527">
        <v>717000</v>
      </c>
      <c r="D124" s="527">
        <v>717000</v>
      </c>
      <c r="E124" s="504" t="s">
        <v>749</v>
      </c>
      <c r="H124" s="291"/>
      <c r="I124" s="540" t="s">
        <v>799</v>
      </c>
      <c r="J124" s="532">
        <v>0</v>
      </c>
      <c r="K124" s="532">
        <v>0</v>
      </c>
      <c r="L124" s="532">
        <v>240000</v>
      </c>
      <c r="M124" s="532">
        <v>477000</v>
      </c>
      <c r="N124" s="532">
        <f t="shared" si="3"/>
        <v>717000</v>
      </c>
      <c r="O124" s="532">
        <v>717000</v>
      </c>
      <c r="FA124"/>
    </row>
    <row r="125" spans="1:157" ht="40.799999999999997">
      <c r="A125">
        <v>121</v>
      </c>
      <c r="B125" s="533" t="s">
        <v>580</v>
      </c>
      <c r="C125" s="499">
        <v>26267</v>
      </c>
      <c r="D125" s="499">
        <v>26267</v>
      </c>
      <c r="E125" s="509" t="s">
        <v>691</v>
      </c>
      <c r="H125" s="291"/>
      <c r="I125" s="536" t="s">
        <v>580</v>
      </c>
      <c r="J125" s="532">
        <v>0</v>
      </c>
      <c r="K125" s="532">
        <v>26267</v>
      </c>
      <c r="L125" s="532">
        <v>0</v>
      </c>
      <c r="M125" s="532">
        <v>0</v>
      </c>
      <c r="N125" s="532">
        <f t="shared" si="3"/>
        <v>26267</v>
      </c>
      <c r="O125" s="532">
        <v>26267</v>
      </c>
      <c r="FA125"/>
    </row>
    <row r="126" spans="1:157" ht="20.399999999999999">
      <c r="A126">
        <v>122</v>
      </c>
      <c r="B126" s="538" t="s">
        <v>682</v>
      </c>
      <c r="C126" s="532">
        <v>6700</v>
      </c>
      <c r="D126" s="528">
        <v>6700</v>
      </c>
      <c r="E126" s="507" t="s">
        <v>690</v>
      </c>
      <c r="H126" s="291"/>
      <c r="I126" s="538" t="s">
        <v>682</v>
      </c>
      <c r="J126" s="532">
        <v>4000</v>
      </c>
      <c r="K126" s="532">
        <v>2700</v>
      </c>
      <c r="L126" s="532">
        <v>0</v>
      </c>
      <c r="M126" s="532">
        <v>0</v>
      </c>
      <c r="N126" s="532">
        <f t="shared" si="3"/>
        <v>6700</v>
      </c>
      <c r="O126" s="532">
        <v>2700</v>
      </c>
      <c r="FA126"/>
    </row>
    <row r="127" spans="1:157" ht="61.2">
      <c r="A127">
        <v>123</v>
      </c>
      <c r="B127" s="533" t="s">
        <v>683</v>
      </c>
      <c r="C127" s="499">
        <v>16699387</v>
      </c>
      <c r="D127" s="499">
        <v>23209387</v>
      </c>
      <c r="E127" s="510" t="s">
        <v>275</v>
      </c>
      <c r="H127" s="291"/>
      <c r="I127" s="533" t="s">
        <v>683</v>
      </c>
      <c r="J127" s="532">
        <v>3252004</v>
      </c>
      <c r="K127" s="532">
        <v>1719383</v>
      </c>
      <c r="L127" s="532">
        <v>5528000</v>
      </c>
      <c r="M127" s="532">
        <v>6200000</v>
      </c>
      <c r="N127" s="532">
        <f t="shared" si="3"/>
        <v>16699387</v>
      </c>
      <c r="O127" s="532">
        <v>13447383</v>
      </c>
      <c r="FA127"/>
    </row>
    <row r="128" spans="1:157" ht="183.6">
      <c r="A128">
        <v>124</v>
      </c>
      <c r="B128" s="533" t="s">
        <v>670</v>
      </c>
      <c r="C128" s="499">
        <v>125000</v>
      </c>
      <c r="D128" s="499">
        <v>1575000</v>
      </c>
      <c r="E128" s="510" t="s">
        <v>669</v>
      </c>
      <c r="H128" s="291"/>
      <c r="I128" s="538" t="s">
        <v>670</v>
      </c>
      <c r="J128" s="532">
        <v>0</v>
      </c>
      <c r="K128" s="532">
        <v>0</v>
      </c>
      <c r="L128" s="532">
        <v>0</v>
      </c>
      <c r="M128" s="532">
        <v>125000</v>
      </c>
      <c r="N128" s="532">
        <f t="shared" si="3"/>
        <v>125000</v>
      </c>
      <c r="O128" s="532">
        <v>125000</v>
      </c>
      <c r="FA128"/>
    </row>
    <row r="129" spans="1:157" ht="20.399999999999999">
      <c r="A129">
        <v>125</v>
      </c>
      <c r="B129" s="533" t="s">
        <v>672</v>
      </c>
      <c r="C129" s="499">
        <v>727500</v>
      </c>
      <c r="D129" s="499">
        <v>727500</v>
      </c>
      <c r="E129" s="510" t="s">
        <v>671</v>
      </c>
      <c r="H129" s="291"/>
      <c r="I129" s="538" t="s">
        <v>672</v>
      </c>
      <c r="J129" s="532">
        <v>0</v>
      </c>
      <c r="K129" s="532">
        <v>0</v>
      </c>
      <c r="L129" s="532">
        <v>500000</v>
      </c>
      <c r="M129" s="532">
        <v>227500</v>
      </c>
      <c r="N129" s="532">
        <f t="shared" si="3"/>
        <v>727500</v>
      </c>
      <c r="O129" s="532">
        <v>727500</v>
      </c>
      <c r="FA129"/>
    </row>
    <row r="130" spans="1:157" ht="30.6">
      <c r="A130">
        <v>126</v>
      </c>
      <c r="B130" s="534" t="s">
        <v>138</v>
      </c>
      <c r="C130" s="531">
        <v>264175</v>
      </c>
      <c r="D130" s="499">
        <v>5283502</v>
      </c>
      <c r="E130" s="507" t="s">
        <v>120</v>
      </c>
      <c r="H130" s="291"/>
      <c r="I130" s="534" t="s">
        <v>138</v>
      </c>
      <c r="J130" s="532">
        <v>0</v>
      </c>
      <c r="K130" s="532">
        <v>0</v>
      </c>
      <c r="L130" s="532">
        <v>0</v>
      </c>
      <c r="M130" s="532">
        <v>264175</v>
      </c>
      <c r="N130" s="532">
        <f t="shared" si="3"/>
        <v>264175</v>
      </c>
      <c r="O130" s="532">
        <v>264175</v>
      </c>
      <c r="FA130"/>
    </row>
    <row r="131" spans="1:157" ht="40.799999999999997">
      <c r="A131">
        <v>127</v>
      </c>
      <c r="B131" s="536" t="s">
        <v>136</v>
      </c>
      <c r="C131" s="531">
        <v>842000</v>
      </c>
      <c r="D131" s="499">
        <v>1242000</v>
      </c>
      <c r="E131" s="507" t="s">
        <v>115</v>
      </c>
      <c r="H131" s="291"/>
      <c r="I131" s="536" t="s">
        <v>136</v>
      </c>
      <c r="J131" s="532">
        <v>177500</v>
      </c>
      <c r="K131" s="532">
        <v>250000</v>
      </c>
      <c r="L131" s="532">
        <v>194500</v>
      </c>
      <c r="M131" s="532">
        <v>220000</v>
      </c>
      <c r="N131" s="532">
        <f t="shared" si="3"/>
        <v>842000</v>
      </c>
      <c r="O131" s="532">
        <v>664500</v>
      </c>
      <c r="FA131"/>
    </row>
    <row r="132" spans="1:157" ht="61.2">
      <c r="A132">
        <v>128</v>
      </c>
      <c r="B132" s="534" t="s">
        <v>227</v>
      </c>
      <c r="C132" s="531">
        <v>855228</v>
      </c>
      <c r="D132" s="499">
        <v>855228</v>
      </c>
      <c r="E132" s="507" t="s">
        <v>686</v>
      </c>
      <c r="H132" s="291"/>
      <c r="I132" s="534" t="s">
        <v>227</v>
      </c>
      <c r="J132" s="532">
        <v>0</v>
      </c>
      <c r="K132" s="532">
        <v>855228</v>
      </c>
      <c r="L132" s="532">
        <v>0</v>
      </c>
      <c r="M132" s="532">
        <v>0</v>
      </c>
      <c r="N132" s="532">
        <f t="shared" si="3"/>
        <v>855228</v>
      </c>
      <c r="O132" s="532">
        <v>855228</v>
      </c>
      <c r="FA132"/>
    </row>
    <row r="133" spans="1:157">
      <c r="A133">
        <v>129</v>
      </c>
      <c r="B133" s="533" t="s">
        <v>107</v>
      </c>
      <c r="C133" s="499">
        <v>4560700</v>
      </c>
      <c r="D133" s="499">
        <v>8806400</v>
      </c>
      <c r="E133" s="509" t="s">
        <v>650</v>
      </c>
      <c r="H133" s="291"/>
      <c r="I133" s="533" t="s">
        <v>107</v>
      </c>
      <c r="J133" s="532">
        <v>121000</v>
      </c>
      <c r="K133" s="532">
        <v>194000</v>
      </c>
      <c r="L133" s="532">
        <v>546860</v>
      </c>
      <c r="M133" s="532">
        <v>3698840</v>
      </c>
      <c r="N133" s="532">
        <f t="shared" ref="N133:N141" si="4">SUM(J133:M133)</f>
        <v>4560700</v>
      </c>
      <c r="O133" s="532">
        <v>4439700</v>
      </c>
      <c r="FA133"/>
    </row>
    <row r="134" spans="1:157" ht="81.599999999999994">
      <c r="A134">
        <v>130</v>
      </c>
      <c r="B134" s="540" t="s">
        <v>798</v>
      </c>
      <c r="C134" s="527">
        <v>774000</v>
      </c>
      <c r="D134" s="527">
        <v>774000</v>
      </c>
      <c r="E134" s="505" t="s">
        <v>749</v>
      </c>
      <c r="H134" s="291"/>
      <c r="I134" s="540" t="s">
        <v>798</v>
      </c>
      <c r="J134" s="532">
        <v>0</v>
      </c>
      <c r="K134" s="532">
        <v>2400</v>
      </c>
      <c r="L134" s="532">
        <v>516000</v>
      </c>
      <c r="M134" s="532">
        <v>255600</v>
      </c>
      <c r="N134" s="532">
        <f t="shared" si="4"/>
        <v>774000</v>
      </c>
      <c r="O134" s="532">
        <v>774000</v>
      </c>
      <c r="FA134"/>
    </row>
    <row r="135" spans="1:157" ht="81.599999999999994">
      <c r="A135">
        <v>131</v>
      </c>
      <c r="B135" s="534" t="s">
        <v>635</v>
      </c>
      <c r="C135" s="531">
        <v>70469293</v>
      </c>
      <c r="D135" s="499">
        <v>70469293</v>
      </c>
      <c r="E135" s="507" t="s">
        <v>634</v>
      </c>
      <c r="H135" s="291"/>
      <c r="I135" s="534" t="s">
        <v>635</v>
      </c>
      <c r="J135" s="532">
        <v>0</v>
      </c>
      <c r="K135" s="532">
        <v>0</v>
      </c>
      <c r="L135" s="532">
        <v>8659891</v>
      </c>
      <c r="M135" s="532">
        <v>61809402</v>
      </c>
      <c r="N135" s="532">
        <f t="shared" si="4"/>
        <v>70469293</v>
      </c>
      <c r="O135" s="532">
        <v>70469293</v>
      </c>
      <c r="FA135"/>
    </row>
    <row r="136" spans="1:157" ht="30.6">
      <c r="A136">
        <v>132</v>
      </c>
      <c r="B136" s="534" t="s">
        <v>119</v>
      </c>
      <c r="C136" s="531">
        <v>13091678</v>
      </c>
      <c r="D136" s="499">
        <v>18047203</v>
      </c>
      <c r="E136" s="507" t="s">
        <v>120</v>
      </c>
      <c r="H136" s="291"/>
      <c r="I136" s="534" t="s">
        <v>119</v>
      </c>
      <c r="J136" s="532">
        <v>2760000</v>
      </c>
      <c r="K136" s="532">
        <v>2563000</v>
      </c>
      <c r="L136" s="532">
        <v>4063600</v>
      </c>
      <c r="M136" s="532">
        <v>3705078</v>
      </c>
      <c r="N136" s="532">
        <f t="shared" si="4"/>
        <v>13091678</v>
      </c>
      <c r="O136" s="532">
        <v>10331678</v>
      </c>
      <c r="FA136"/>
    </row>
    <row r="137" spans="1:157" ht="91.8">
      <c r="A137">
        <v>133</v>
      </c>
      <c r="B137" s="533" t="s">
        <v>637</v>
      </c>
      <c r="C137" s="499">
        <v>0</v>
      </c>
      <c r="D137" s="499">
        <v>500000</v>
      </c>
      <c r="E137" s="509" t="s">
        <v>636</v>
      </c>
      <c r="H137" s="291"/>
      <c r="I137" s="533" t="s">
        <v>637</v>
      </c>
      <c r="J137" s="532">
        <v>0</v>
      </c>
      <c r="K137" s="532">
        <v>0</v>
      </c>
      <c r="L137" s="532">
        <v>0</v>
      </c>
      <c r="M137" s="532">
        <v>0</v>
      </c>
      <c r="N137" s="532">
        <f t="shared" si="4"/>
        <v>0</v>
      </c>
      <c r="O137" s="532">
        <v>0</v>
      </c>
      <c r="FA137"/>
    </row>
    <row r="138" spans="1:157" ht="20.399999999999999">
      <c r="A138">
        <v>134</v>
      </c>
      <c r="B138" s="534" t="s">
        <v>155</v>
      </c>
      <c r="C138" s="531">
        <v>62560</v>
      </c>
      <c r="D138" s="499">
        <v>1313733</v>
      </c>
      <c r="E138" s="507" t="s">
        <v>156</v>
      </c>
      <c r="H138" s="291"/>
      <c r="I138" s="534" t="s">
        <v>155</v>
      </c>
      <c r="J138" s="532">
        <v>0</v>
      </c>
      <c r="K138" s="532">
        <v>0</v>
      </c>
      <c r="L138" s="532">
        <v>0</v>
      </c>
      <c r="M138" s="532">
        <v>62560</v>
      </c>
      <c r="N138" s="532">
        <f t="shared" si="4"/>
        <v>62560</v>
      </c>
      <c r="O138" s="532">
        <v>62560</v>
      </c>
      <c r="FA138"/>
    </row>
    <row r="139" spans="1:157" ht="24">
      <c r="A139">
        <v>135</v>
      </c>
      <c r="B139" s="536" t="s">
        <v>700</v>
      </c>
      <c r="C139" s="532">
        <v>200000</v>
      </c>
      <c r="D139" s="528">
        <v>200000</v>
      </c>
      <c r="E139" s="504" t="s">
        <v>754</v>
      </c>
      <c r="H139" s="291"/>
      <c r="I139" s="533" t="s">
        <v>700</v>
      </c>
      <c r="J139" s="532">
        <v>0</v>
      </c>
      <c r="K139" s="532">
        <v>0</v>
      </c>
      <c r="L139" s="532">
        <v>0</v>
      </c>
      <c r="M139" s="532">
        <v>200000</v>
      </c>
      <c r="N139" s="532">
        <f t="shared" si="4"/>
        <v>200000</v>
      </c>
      <c r="O139" s="532">
        <v>200000</v>
      </c>
      <c r="FA139"/>
    </row>
    <row r="140" spans="1:157" ht="71.400000000000006">
      <c r="A140">
        <v>136</v>
      </c>
      <c r="B140" s="534" t="s">
        <v>796</v>
      </c>
      <c r="C140" s="531">
        <v>0</v>
      </c>
      <c r="D140" s="499">
        <v>8613000</v>
      </c>
      <c r="E140" s="507" t="s">
        <v>105</v>
      </c>
      <c r="H140" s="291"/>
      <c r="I140" s="534" t="s">
        <v>796</v>
      </c>
      <c r="J140" s="532">
        <v>0</v>
      </c>
      <c r="K140" s="532">
        <v>0</v>
      </c>
      <c r="L140" s="532">
        <v>0</v>
      </c>
      <c r="M140" s="532">
        <v>0</v>
      </c>
      <c r="N140" s="532">
        <f t="shared" si="4"/>
        <v>0</v>
      </c>
      <c r="O140" s="532">
        <v>0</v>
      </c>
      <c r="FA140"/>
    </row>
    <row r="141" spans="1:157" ht="40.799999999999997">
      <c r="A141">
        <v>137</v>
      </c>
      <c r="B141" s="534" t="s">
        <v>795</v>
      </c>
      <c r="C141" s="531">
        <v>1531030</v>
      </c>
      <c r="D141" s="499">
        <v>1531030</v>
      </c>
      <c r="E141" s="507" t="s">
        <v>105</v>
      </c>
      <c r="H141" s="291"/>
      <c r="I141" s="534" t="s">
        <v>795</v>
      </c>
      <c r="J141" s="532">
        <v>501900</v>
      </c>
      <c r="K141" s="532">
        <v>1029130</v>
      </c>
      <c r="L141" s="532">
        <v>0</v>
      </c>
      <c r="M141" s="532">
        <v>0</v>
      </c>
      <c r="N141" s="532">
        <f t="shared" si="4"/>
        <v>1531030</v>
      </c>
      <c r="O141" s="532">
        <v>1029130</v>
      </c>
      <c r="FA141"/>
    </row>
    <row r="142" spans="1:157">
      <c r="C142" s="67"/>
      <c r="D142" s="67"/>
      <c r="I142" s="291">
        <f>SUM('GRDP interregional'!J16:J141)</f>
        <v>42067242.179000005</v>
      </c>
      <c r="J142" s="291">
        <f>SUM('GRDP interregional'!K16:K141)</f>
        <v>39734065.557999998</v>
      </c>
      <c r="N142" s="291">
        <f>SUM(N5:N141)</f>
        <v>475991496.18566662</v>
      </c>
      <c r="O142" s="291">
        <f>SUM(O5:O141)</f>
        <v>429544563.0066666</v>
      </c>
    </row>
    <row r="143" spans="1:157">
      <c r="C143" s="291">
        <f>SUM(C5:C141)</f>
        <v>475991496.18566662</v>
      </c>
      <c r="D143" s="291">
        <f>SUM(D5:D141)</f>
        <v>952621128.15566671</v>
      </c>
      <c r="I143" s="291">
        <f>I142-C143</f>
        <v>-433924254.0066666</v>
      </c>
      <c r="J143" s="291">
        <f>J142-D143</f>
        <v>-912887062.59766674</v>
      </c>
    </row>
    <row r="144" spans="1:157">
      <c r="F144" s="598"/>
    </row>
    <row r="145" spans="1:156">
      <c r="C145" s="291">
        <f>SUM(C11:C141)</f>
        <v>432220286.18566662</v>
      </c>
      <c r="D145" s="291">
        <f>SUM(D11:D141)</f>
        <v>901481148.15566671</v>
      </c>
      <c r="F145" s="598"/>
    </row>
    <row r="146" spans="1:156"/>
    <row r="147" spans="1:156"/>
    <row r="148" spans="1:156"/>
    <row r="149" spans="1:156" s="121" customFormat="1">
      <c r="A149" s="539"/>
      <c r="B149" s="539"/>
      <c r="C149" s="539">
        <v>1</v>
      </c>
      <c r="D149" s="539">
        <v>2</v>
      </c>
      <c r="E149" s="539">
        <v>3</v>
      </c>
      <c r="F149" s="539">
        <v>4</v>
      </c>
      <c r="G149" s="539">
        <v>5</v>
      </c>
      <c r="H149" s="539">
        <v>6</v>
      </c>
      <c r="I149" s="539">
        <v>7</v>
      </c>
      <c r="J149" s="539">
        <v>8</v>
      </c>
      <c r="K149" s="539">
        <v>9</v>
      </c>
      <c r="L149" s="539">
        <v>10</v>
      </c>
      <c r="M149" s="539">
        <v>11</v>
      </c>
      <c r="N149" s="539">
        <v>12</v>
      </c>
      <c r="O149" s="539">
        <v>13</v>
      </c>
      <c r="P149" s="539">
        <v>14</v>
      </c>
      <c r="Q149" s="539">
        <v>15</v>
      </c>
      <c r="R149" s="539">
        <v>16</v>
      </c>
      <c r="S149" s="539">
        <v>17</v>
      </c>
      <c r="T149" s="539">
        <v>18</v>
      </c>
      <c r="U149" s="539">
        <v>19</v>
      </c>
      <c r="V149" s="539">
        <v>20</v>
      </c>
      <c r="W149" s="539">
        <v>21</v>
      </c>
      <c r="X149" s="539">
        <v>22</v>
      </c>
      <c r="Y149" s="539">
        <v>23</v>
      </c>
      <c r="Z149" s="539">
        <v>24</v>
      </c>
      <c r="AA149" s="539">
        <v>25</v>
      </c>
      <c r="AB149" s="539">
        <v>26</v>
      </c>
      <c r="AC149" s="539">
        <v>27</v>
      </c>
      <c r="AD149" s="539">
        <v>28</v>
      </c>
      <c r="AE149" s="539">
        <v>29</v>
      </c>
      <c r="AF149" s="539">
        <v>30</v>
      </c>
      <c r="AG149" s="539">
        <v>31</v>
      </c>
      <c r="AH149" s="539">
        <v>32</v>
      </c>
      <c r="AI149" s="539">
        <v>33</v>
      </c>
      <c r="AJ149" s="539">
        <v>34</v>
      </c>
      <c r="AK149" s="539">
        <v>35</v>
      </c>
      <c r="AL149" s="539">
        <v>36</v>
      </c>
      <c r="AM149" s="539">
        <v>37</v>
      </c>
      <c r="AN149" s="539">
        <v>38</v>
      </c>
      <c r="AO149" s="539">
        <v>39</v>
      </c>
      <c r="AP149" s="539">
        <v>40</v>
      </c>
      <c r="AQ149" s="539">
        <v>41</v>
      </c>
      <c r="AR149" s="539">
        <v>42</v>
      </c>
      <c r="AS149" s="539">
        <v>43</v>
      </c>
      <c r="AT149" s="539">
        <v>44</v>
      </c>
      <c r="AU149" s="539">
        <v>45</v>
      </c>
      <c r="AV149" s="539">
        <v>46</v>
      </c>
      <c r="AW149" s="539">
        <v>47</v>
      </c>
      <c r="AX149" s="539">
        <v>48</v>
      </c>
      <c r="AY149" s="539">
        <v>49</v>
      </c>
      <c r="AZ149" s="539">
        <v>50</v>
      </c>
      <c r="BA149" s="539">
        <v>51</v>
      </c>
      <c r="BB149" s="539">
        <v>52</v>
      </c>
      <c r="BC149" s="539">
        <v>53</v>
      </c>
      <c r="BD149" s="539">
        <v>54</v>
      </c>
      <c r="BE149" s="539">
        <v>55</v>
      </c>
      <c r="BF149" s="539">
        <v>56</v>
      </c>
      <c r="BG149" s="539">
        <v>57</v>
      </c>
      <c r="BH149" s="539">
        <v>58</v>
      </c>
      <c r="BI149" s="539">
        <v>59</v>
      </c>
      <c r="BJ149" s="539">
        <v>60</v>
      </c>
      <c r="BK149" s="539">
        <v>61</v>
      </c>
      <c r="BL149" s="539">
        <v>62</v>
      </c>
      <c r="BM149" s="539">
        <v>63</v>
      </c>
      <c r="BN149" s="539">
        <v>64</v>
      </c>
      <c r="BO149" s="539">
        <v>65</v>
      </c>
      <c r="BP149" s="539">
        <v>66</v>
      </c>
      <c r="BQ149" s="539">
        <v>67</v>
      </c>
      <c r="BR149" s="539">
        <v>68</v>
      </c>
      <c r="BS149" s="539">
        <v>69</v>
      </c>
      <c r="BT149" s="539">
        <v>70</v>
      </c>
      <c r="BU149" s="539">
        <v>71</v>
      </c>
      <c r="BV149" s="539">
        <v>72</v>
      </c>
      <c r="BW149" s="539">
        <v>73</v>
      </c>
      <c r="BX149" s="539">
        <v>74</v>
      </c>
      <c r="BY149" s="539">
        <v>75</v>
      </c>
      <c r="BZ149" s="539">
        <v>76</v>
      </c>
      <c r="CA149" s="539">
        <v>77</v>
      </c>
      <c r="CB149" s="539">
        <v>78</v>
      </c>
      <c r="CC149" s="539">
        <v>79</v>
      </c>
      <c r="CD149" s="539">
        <v>80</v>
      </c>
      <c r="CE149" s="539">
        <v>81</v>
      </c>
      <c r="CF149" s="539">
        <v>82</v>
      </c>
      <c r="CG149" s="539">
        <v>83</v>
      </c>
      <c r="CH149" s="539">
        <v>84</v>
      </c>
      <c r="CI149" s="539">
        <v>85</v>
      </c>
      <c r="CJ149" s="539">
        <v>86</v>
      </c>
      <c r="CK149" s="539">
        <v>87</v>
      </c>
      <c r="CL149" s="539">
        <v>88</v>
      </c>
      <c r="CM149" s="539">
        <v>89</v>
      </c>
      <c r="CN149" s="539">
        <v>90</v>
      </c>
      <c r="CO149" s="539">
        <v>91</v>
      </c>
      <c r="CP149" s="539">
        <v>92</v>
      </c>
      <c r="CQ149" s="539">
        <v>93</v>
      </c>
      <c r="CR149" s="539">
        <v>94</v>
      </c>
      <c r="CS149" s="539">
        <v>95</v>
      </c>
      <c r="CT149" s="539">
        <v>96</v>
      </c>
      <c r="CU149" s="539">
        <v>97</v>
      </c>
      <c r="CV149" s="539">
        <v>98</v>
      </c>
      <c r="CW149" s="539">
        <v>99</v>
      </c>
      <c r="CX149" s="539">
        <v>100</v>
      </c>
      <c r="CY149" s="539">
        <v>101</v>
      </c>
      <c r="CZ149" s="539">
        <v>102</v>
      </c>
      <c r="DA149" s="539">
        <v>103</v>
      </c>
      <c r="DB149" s="539">
        <v>104</v>
      </c>
      <c r="DC149" s="539">
        <v>105</v>
      </c>
      <c r="DD149" s="539">
        <v>106</v>
      </c>
      <c r="DE149" s="539">
        <v>107</v>
      </c>
      <c r="DF149" s="539">
        <v>108</v>
      </c>
      <c r="DG149" s="539">
        <v>109</v>
      </c>
      <c r="DH149" s="539">
        <v>110</v>
      </c>
      <c r="DI149" s="539">
        <v>111</v>
      </c>
      <c r="DJ149" s="539">
        <v>112</v>
      </c>
      <c r="DK149" s="539">
        <v>113</v>
      </c>
      <c r="DL149" s="539">
        <v>114</v>
      </c>
      <c r="DM149" s="539">
        <v>115</v>
      </c>
      <c r="DN149" s="539">
        <v>116</v>
      </c>
      <c r="DO149" s="539">
        <v>117</v>
      </c>
      <c r="DP149" s="539">
        <v>118</v>
      </c>
      <c r="DQ149" s="539">
        <v>119</v>
      </c>
      <c r="DR149" s="539">
        <v>120</v>
      </c>
      <c r="DS149" s="539">
        <v>121</v>
      </c>
      <c r="DT149" s="539">
        <v>122</v>
      </c>
      <c r="DU149" s="539">
        <v>123</v>
      </c>
      <c r="DV149" s="539">
        <v>124</v>
      </c>
      <c r="DW149" s="539">
        <v>125</v>
      </c>
      <c r="DX149" s="539">
        <v>126</v>
      </c>
      <c r="DY149" s="539">
        <v>127</v>
      </c>
      <c r="DZ149" s="539">
        <v>128</v>
      </c>
      <c r="EA149" s="539">
        <v>129</v>
      </c>
      <c r="EB149" s="539">
        <v>130</v>
      </c>
      <c r="EC149" s="539">
        <v>131</v>
      </c>
      <c r="ED149" s="539">
        <v>132</v>
      </c>
      <c r="EE149" s="539">
        <v>133</v>
      </c>
      <c r="EF149" s="539">
        <v>134</v>
      </c>
      <c r="EG149" s="539">
        <v>135</v>
      </c>
      <c r="EH149" s="539">
        <v>136</v>
      </c>
      <c r="EI149" s="539">
        <v>137</v>
      </c>
      <c r="EJ149" s="539"/>
      <c r="EK149" s="539"/>
      <c r="EL149" s="539"/>
      <c r="EM149" s="539"/>
      <c r="EN149" s="539"/>
      <c r="EO149" s="539"/>
      <c r="EP149" s="539"/>
      <c r="EQ149" s="539"/>
      <c r="ER149" s="539"/>
      <c r="ES149" s="539"/>
      <c r="ET149" s="539"/>
      <c r="EU149" s="539"/>
      <c r="EV149" s="539"/>
      <c r="EW149" s="539"/>
      <c r="EX149" s="539"/>
      <c r="EY149" s="539"/>
      <c r="EZ149" s="539"/>
    </row>
    <row r="150" spans="1:156" ht="112.2" customHeight="1" thickBot="1">
      <c r="B150" s="605" t="s">
        <v>792</v>
      </c>
      <c r="C150" s="533" t="s">
        <v>140</v>
      </c>
      <c r="D150" s="533" t="s">
        <v>143</v>
      </c>
      <c r="E150" s="533" t="s">
        <v>114</v>
      </c>
      <c r="F150" s="538" t="s">
        <v>652</v>
      </c>
      <c r="G150" s="534" t="s">
        <v>713</v>
      </c>
      <c r="H150" s="534" t="s">
        <v>715</v>
      </c>
      <c r="I150" s="538" t="s">
        <v>655</v>
      </c>
      <c r="J150" s="538" t="s">
        <v>656</v>
      </c>
      <c r="K150" s="534" t="s">
        <v>564</v>
      </c>
      <c r="L150" s="534" t="s">
        <v>198</v>
      </c>
      <c r="M150" s="533" t="s">
        <v>144</v>
      </c>
      <c r="N150" s="534" t="s">
        <v>273</v>
      </c>
      <c r="O150" s="533" t="s">
        <v>190</v>
      </c>
      <c r="P150" s="533" t="s">
        <v>151</v>
      </c>
      <c r="Q150" s="534" t="s">
        <v>707</v>
      </c>
      <c r="R150" s="533" t="s">
        <v>563</v>
      </c>
      <c r="S150" s="533" t="s">
        <v>562</v>
      </c>
      <c r="T150" s="533" t="s">
        <v>130</v>
      </c>
      <c r="U150" s="533" t="s">
        <v>157</v>
      </c>
      <c r="V150" s="533" t="s">
        <v>147</v>
      </c>
      <c r="W150" s="538" t="s">
        <v>702</v>
      </c>
      <c r="X150" s="533" t="s">
        <v>134</v>
      </c>
      <c r="Y150" s="538" t="s">
        <v>654</v>
      </c>
      <c r="Z150" s="536" t="s">
        <v>554</v>
      </c>
      <c r="AA150" s="534" t="s">
        <v>705</v>
      </c>
      <c r="AB150" s="533" t="s">
        <v>121</v>
      </c>
      <c r="AC150" s="533" t="s">
        <v>642</v>
      </c>
      <c r="AD150" s="533" t="s">
        <v>159</v>
      </c>
      <c r="AE150" s="536" t="s">
        <v>270</v>
      </c>
      <c r="AF150" s="534" t="s">
        <v>751</v>
      </c>
      <c r="AG150" s="533" t="s">
        <v>161</v>
      </c>
      <c r="AH150" s="534" t="s">
        <v>277</v>
      </c>
      <c r="AI150" s="533" t="s">
        <v>640</v>
      </c>
      <c r="AJ150" s="533" t="s">
        <v>129</v>
      </c>
      <c r="AK150" s="533" t="s">
        <v>648</v>
      </c>
      <c r="AL150" s="533" t="s">
        <v>131</v>
      </c>
      <c r="AM150" s="533" t="s">
        <v>127</v>
      </c>
      <c r="AN150" s="533" t="s">
        <v>116</v>
      </c>
      <c r="AO150" s="533" t="s">
        <v>123</v>
      </c>
      <c r="AP150" s="534" t="s">
        <v>720</v>
      </c>
      <c r="AQ150" s="534" t="s">
        <v>785</v>
      </c>
      <c r="AR150" s="595" t="s">
        <v>668</v>
      </c>
      <c r="AS150" s="536" t="s">
        <v>560</v>
      </c>
      <c r="AT150" s="536" t="s">
        <v>558</v>
      </c>
      <c r="AU150" s="536" t="s">
        <v>788</v>
      </c>
      <c r="AV150" s="536" t="s">
        <v>556</v>
      </c>
      <c r="AW150" s="536" t="s">
        <v>661</v>
      </c>
      <c r="AX150" s="536" t="s">
        <v>169</v>
      </c>
      <c r="AY150" s="534" t="s">
        <v>728</v>
      </c>
      <c r="AZ150" s="534" t="s">
        <v>445</v>
      </c>
      <c r="BA150" s="536" t="s">
        <v>746</v>
      </c>
      <c r="BB150" s="534" t="s">
        <v>726</v>
      </c>
      <c r="BC150" s="533" t="s">
        <v>567</v>
      </c>
      <c r="BD150" s="535" t="s">
        <v>730</v>
      </c>
      <c r="BE150" s="533" t="s">
        <v>643</v>
      </c>
      <c r="BF150" s="533" t="s">
        <v>165</v>
      </c>
      <c r="BG150" s="534" t="s">
        <v>784</v>
      </c>
      <c r="BH150" s="537" t="s">
        <v>232</v>
      </c>
      <c r="BI150" s="537" t="s">
        <v>233</v>
      </c>
      <c r="BJ150" s="537" t="s">
        <v>234</v>
      </c>
      <c r="BK150" s="534" t="s">
        <v>716</v>
      </c>
      <c r="BL150" s="534" t="s">
        <v>711</v>
      </c>
      <c r="BM150" s="533" t="s">
        <v>141</v>
      </c>
      <c r="BN150" s="533" t="s">
        <v>164</v>
      </c>
      <c r="BO150" s="536" t="s">
        <v>739</v>
      </c>
      <c r="BP150" s="533" t="s">
        <v>167</v>
      </c>
      <c r="BQ150" s="533" t="s">
        <v>106</v>
      </c>
      <c r="BR150" s="536" t="s">
        <v>680</v>
      </c>
      <c r="BS150" s="533" t="s">
        <v>550</v>
      </c>
      <c r="BT150" s="533" t="s">
        <v>145</v>
      </c>
      <c r="BU150" s="533" t="s">
        <v>162</v>
      </c>
      <c r="BV150" s="533" t="s">
        <v>153</v>
      </c>
      <c r="BW150" s="534" t="s">
        <v>738</v>
      </c>
      <c r="BX150" s="534" t="s">
        <v>742</v>
      </c>
      <c r="BY150" s="538" t="s">
        <v>653</v>
      </c>
      <c r="BZ150" s="533" t="s">
        <v>173</v>
      </c>
      <c r="CA150" s="534" t="s">
        <v>741</v>
      </c>
      <c r="CB150" s="533" t="s">
        <v>118</v>
      </c>
      <c r="CC150" s="533" t="s">
        <v>128</v>
      </c>
      <c r="CD150" s="533" t="s">
        <v>124</v>
      </c>
      <c r="CE150" s="534" t="s">
        <v>736</v>
      </c>
      <c r="CF150" s="534" t="s">
        <v>718</v>
      </c>
      <c r="CG150" s="534" t="s">
        <v>709</v>
      </c>
      <c r="CH150" s="533" t="s">
        <v>104</v>
      </c>
      <c r="CI150" s="538" t="s">
        <v>658</v>
      </c>
      <c r="CJ150" s="534" t="s">
        <v>701</v>
      </c>
      <c r="CK150" s="534" t="s">
        <v>744</v>
      </c>
      <c r="CL150" s="534" t="s">
        <v>725</v>
      </c>
      <c r="CM150" s="533" t="s">
        <v>110</v>
      </c>
      <c r="CN150" s="533" t="s">
        <v>125</v>
      </c>
      <c r="CO150" s="534" t="s">
        <v>753</v>
      </c>
      <c r="CP150" s="533" t="s">
        <v>645</v>
      </c>
      <c r="CQ150" s="534" t="s">
        <v>199</v>
      </c>
      <c r="CR150" s="533" t="s">
        <v>641</v>
      </c>
      <c r="CS150" s="533" t="s">
        <v>791</v>
      </c>
      <c r="CT150" s="533" t="s">
        <v>139</v>
      </c>
      <c r="CU150" s="533" t="s">
        <v>149</v>
      </c>
      <c r="CV150" s="536" t="s">
        <v>659</v>
      </c>
      <c r="CW150" s="534" t="s">
        <v>444</v>
      </c>
      <c r="CX150" s="538" t="s">
        <v>663</v>
      </c>
      <c r="CY150" s="538" t="s">
        <v>651</v>
      </c>
      <c r="CZ150" s="533" t="s">
        <v>177</v>
      </c>
      <c r="DA150" s="533" t="s">
        <v>649</v>
      </c>
      <c r="DB150" s="536" t="s">
        <v>685</v>
      </c>
      <c r="DC150" s="534" t="s">
        <v>733</v>
      </c>
      <c r="DD150" s="534" t="s">
        <v>568</v>
      </c>
      <c r="DE150" s="534" t="s">
        <v>189</v>
      </c>
      <c r="DF150" s="534" t="s">
        <v>723</v>
      </c>
      <c r="DG150" s="534" t="s">
        <v>280</v>
      </c>
      <c r="DH150" s="533" t="s">
        <v>146</v>
      </c>
      <c r="DI150" s="533" t="s">
        <v>163</v>
      </c>
      <c r="DJ150" s="533" t="s">
        <v>154</v>
      </c>
      <c r="DK150" s="534" t="s">
        <v>721</v>
      </c>
      <c r="DL150" s="534" t="s">
        <v>790</v>
      </c>
      <c r="DM150" s="536" t="s">
        <v>580</v>
      </c>
      <c r="DN150" s="536" t="s">
        <v>682</v>
      </c>
      <c r="DO150" s="536" t="s">
        <v>683</v>
      </c>
      <c r="DP150" s="595" t="s">
        <v>670</v>
      </c>
      <c r="DQ150" s="536" t="s">
        <v>672</v>
      </c>
      <c r="DR150" s="533" t="s">
        <v>138</v>
      </c>
      <c r="DS150" s="533" t="s">
        <v>136</v>
      </c>
      <c r="DT150" s="533" t="s">
        <v>227</v>
      </c>
      <c r="DU150" s="533" t="s">
        <v>107</v>
      </c>
      <c r="DV150" s="534" t="s">
        <v>789</v>
      </c>
      <c r="DW150" s="533" t="s">
        <v>635</v>
      </c>
      <c r="DX150" s="533" t="s">
        <v>119</v>
      </c>
      <c r="DY150" s="533" t="s">
        <v>637</v>
      </c>
      <c r="DZ150" s="533" t="s">
        <v>155</v>
      </c>
      <c r="EA150" s="536" t="s">
        <v>700</v>
      </c>
      <c r="EB150" s="534" t="s">
        <v>787</v>
      </c>
      <c r="EC150" s="534" t="s">
        <v>786</v>
      </c>
      <c r="ED150" s="618" t="s">
        <v>816</v>
      </c>
      <c r="EE150" s="597" t="s">
        <v>827</v>
      </c>
      <c r="EF150" s="597" t="s">
        <v>825</v>
      </c>
      <c r="EG150" s="597" t="s">
        <v>823</v>
      </c>
      <c r="EH150" s="597" t="s">
        <v>821</v>
      </c>
      <c r="EI150" s="599" t="s">
        <v>819</v>
      </c>
      <c r="EK150" s="67"/>
      <c r="EL150" s="67"/>
      <c r="EM150" s="67"/>
      <c r="EN150" s="67"/>
      <c r="EO150" s="67"/>
      <c r="EP150" s="67"/>
      <c r="EQ150" s="67"/>
      <c r="ER150" s="67"/>
      <c r="ES150" s="67"/>
      <c r="ET150" s="67"/>
      <c r="EU150" s="67"/>
      <c r="EV150" s="67"/>
      <c r="EW150" s="67"/>
      <c r="EX150" s="67"/>
      <c r="EY150" s="67"/>
      <c r="EZ150" s="67"/>
    </row>
    <row r="151" spans="1:156" ht="15" thickTop="1">
      <c r="B151" s="637">
        <v>2013</v>
      </c>
      <c r="C151" s="532">
        <v>0</v>
      </c>
      <c r="D151" s="532">
        <v>0</v>
      </c>
      <c r="E151" s="532">
        <v>286029</v>
      </c>
      <c r="F151" s="532">
        <v>402</v>
      </c>
      <c r="G151" s="532">
        <v>1829390</v>
      </c>
      <c r="H151" s="532">
        <v>276667</v>
      </c>
      <c r="I151" s="532">
        <v>77470</v>
      </c>
      <c r="J151" s="532">
        <v>163947</v>
      </c>
      <c r="K151" s="532">
        <v>0</v>
      </c>
      <c r="L151" s="532">
        <v>0</v>
      </c>
      <c r="M151" s="532">
        <v>0</v>
      </c>
      <c r="N151" s="532">
        <v>0</v>
      </c>
      <c r="O151" s="532">
        <v>0</v>
      </c>
      <c r="P151" s="532">
        <v>0</v>
      </c>
      <c r="Q151" s="532">
        <v>159713</v>
      </c>
      <c r="R151" s="532">
        <v>0</v>
      </c>
      <c r="S151" s="532">
        <v>0</v>
      </c>
      <c r="T151" s="532">
        <v>0</v>
      </c>
      <c r="U151" s="532">
        <v>0</v>
      </c>
      <c r="V151" s="532">
        <v>0</v>
      </c>
      <c r="W151" s="532">
        <v>0</v>
      </c>
      <c r="X151" s="532">
        <v>7054680</v>
      </c>
      <c r="Y151" s="532">
        <v>0</v>
      </c>
      <c r="Z151" s="532">
        <v>0</v>
      </c>
      <c r="AA151" s="532">
        <v>114690</v>
      </c>
      <c r="AB151" s="532">
        <v>134463</v>
      </c>
      <c r="AC151" s="532">
        <v>300000</v>
      </c>
      <c r="AD151" s="532">
        <v>0</v>
      </c>
      <c r="AE151" s="532">
        <v>0</v>
      </c>
      <c r="AF151" s="532">
        <v>0</v>
      </c>
      <c r="AG151" s="532">
        <v>0</v>
      </c>
      <c r="AH151" s="532">
        <v>0</v>
      </c>
      <c r="AI151" s="532">
        <v>0</v>
      </c>
      <c r="AJ151" s="532">
        <v>0</v>
      </c>
      <c r="AK151" s="532">
        <v>0</v>
      </c>
      <c r="AL151" s="532">
        <v>0</v>
      </c>
      <c r="AM151" s="532">
        <v>72538.33</v>
      </c>
      <c r="AN151" s="532">
        <v>72538.33</v>
      </c>
      <c r="AO151" s="532">
        <v>72538.33</v>
      </c>
      <c r="AP151" s="532">
        <v>0</v>
      </c>
      <c r="AQ151" s="532">
        <v>129400</v>
      </c>
      <c r="AR151" s="532">
        <v>0</v>
      </c>
      <c r="AS151" s="532">
        <v>0</v>
      </c>
      <c r="AT151" s="532">
        <v>0</v>
      </c>
      <c r="AU151" s="532">
        <v>1499</v>
      </c>
      <c r="AV151" s="532">
        <v>0</v>
      </c>
      <c r="AW151" s="532">
        <v>4410</v>
      </c>
      <c r="AX151" s="532">
        <v>0</v>
      </c>
      <c r="AY151" s="532">
        <v>323992</v>
      </c>
      <c r="AZ151" s="532">
        <v>0</v>
      </c>
      <c r="BA151" s="532">
        <v>40000</v>
      </c>
      <c r="BB151" s="532">
        <v>91932</v>
      </c>
      <c r="BC151" s="532">
        <v>1000000</v>
      </c>
      <c r="BD151" s="532">
        <v>48500</v>
      </c>
      <c r="BE151" s="532">
        <v>0</v>
      </c>
      <c r="BF151" s="532">
        <v>166000</v>
      </c>
      <c r="BG151" s="532"/>
      <c r="BH151" s="532">
        <v>0</v>
      </c>
      <c r="BI151" s="532">
        <v>0</v>
      </c>
      <c r="BJ151" s="532">
        <v>0</v>
      </c>
      <c r="BK151" s="532">
        <v>0</v>
      </c>
      <c r="BL151" s="532">
        <v>1019626</v>
      </c>
      <c r="BM151" s="532">
        <v>0</v>
      </c>
      <c r="BN151" s="532">
        <v>0</v>
      </c>
      <c r="BO151" s="532">
        <v>0</v>
      </c>
      <c r="BP151" s="532">
        <v>0</v>
      </c>
      <c r="BQ151" s="532">
        <v>5324560</v>
      </c>
      <c r="BR151" s="532">
        <v>0</v>
      </c>
      <c r="BS151" s="532">
        <v>350000</v>
      </c>
      <c r="BT151" s="532">
        <v>0</v>
      </c>
      <c r="BU151" s="532">
        <v>0</v>
      </c>
      <c r="BV151" s="532">
        <v>0</v>
      </c>
      <c r="BW151" s="532">
        <v>0</v>
      </c>
      <c r="BX151" s="532">
        <v>200000</v>
      </c>
      <c r="BY151" s="532">
        <v>453</v>
      </c>
      <c r="BZ151" s="532">
        <v>0</v>
      </c>
      <c r="CA151" s="532">
        <v>0</v>
      </c>
      <c r="CB151" s="532">
        <v>1000</v>
      </c>
      <c r="CC151" s="532">
        <v>1000</v>
      </c>
      <c r="CD151" s="532">
        <v>1000</v>
      </c>
      <c r="CE151" s="532">
        <v>0</v>
      </c>
      <c r="CF151" s="532">
        <v>0</v>
      </c>
      <c r="CG151" s="532">
        <v>569348</v>
      </c>
      <c r="CH151" s="532">
        <v>0</v>
      </c>
      <c r="CI151" s="532">
        <v>0</v>
      </c>
      <c r="CJ151" s="532">
        <v>0</v>
      </c>
      <c r="CK151" s="532">
        <v>684670</v>
      </c>
      <c r="CL151" s="532">
        <v>366</v>
      </c>
      <c r="CM151" s="532">
        <v>505795</v>
      </c>
      <c r="CN151" s="532">
        <v>1784246</v>
      </c>
      <c r="CO151" s="532">
        <v>0</v>
      </c>
      <c r="CP151" s="532">
        <v>0</v>
      </c>
      <c r="CQ151" s="532">
        <v>0</v>
      </c>
      <c r="CR151" s="532">
        <v>0</v>
      </c>
      <c r="CS151" s="532">
        <v>0</v>
      </c>
      <c r="CT151" s="532">
        <v>0</v>
      </c>
      <c r="CU151" s="532">
        <v>0</v>
      </c>
      <c r="CV151" s="532">
        <v>16495</v>
      </c>
      <c r="CW151" s="532">
        <v>1554515</v>
      </c>
      <c r="CX151" s="532">
        <v>155495.94899999999</v>
      </c>
      <c r="CY151" s="532">
        <v>677</v>
      </c>
      <c r="CZ151" s="532">
        <v>0</v>
      </c>
      <c r="DA151" s="532">
        <v>367500</v>
      </c>
      <c r="DB151" s="532">
        <v>23900</v>
      </c>
      <c r="DC151" s="532">
        <v>689983</v>
      </c>
      <c r="DD151" s="532">
        <v>1628071</v>
      </c>
      <c r="DE151" s="532">
        <v>7414983.2400000002</v>
      </c>
      <c r="DF151" s="532">
        <v>172266</v>
      </c>
      <c r="DG151" s="532">
        <v>2479910</v>
      </c>
      <c r="DH151" s="532">
        <v>0</v>
      </c>
      <c r="DI151" s="532">
        <v>0</v>
      </c>
      <c r="DJ151" s="532">
        <v>0</v>
      </c>
      <c r="DK151" s="532">
        <v>0</v>
      </c>
      <c r="DL151" s="532">
        <v>0</v>
      </c>
      <c r="DM151" s="532">
        <v>0</v>
      </c>
      <c r="DN151" s="532">
        <v>4000</v>
      </c>
      <c r="DO151" s="532">
        <v>3252004</v>
      </c>
      <c r="DP151" s="532">
        <v>0</v>
      </c>
      <c r="DQ151" s="532">
        <v>0</v>
      </c>
      <c r="DR151" s="532">
        <v>0</v>
      </c>
      <c r="DS151" s="532">
        <v>177500</v>
      </c>
      <c r="DT151" s="532">
        <v>0</v>
      </c>
      <c r="DU151" s="532">
        <v>121000</v>
      </c>
      <c r="DV151" s="532">
        <v>0</v>
      </c>
      <c r="DW151" s="532">
        <v>0</v>
      </c>
      <c r="DX151" s="532">
        <v>2760000</v>
      </c>
      <c r="DY151" s="532">
        <v>0</v>
      </c>
      <c r="DZ151" s="532">
        <v>0</v>
      </c>
      <c r="EA151" s="532">
        <v>0</v>
      </c>
      <c r="EB151" s="532">
        <v>0</v>
      </c>
      <c r="EC151" s="532">
        <v>501900</v>
      </c>
      <c r="ED151" s="532">
        <v>0</v>
      </c>
      <c r="EE151" s="532">
        <v>0</v>
      </c>
      <c r="EF151" s="532">
        <v>1156120</v>
      </c>
      <c r="EG151" s="532">
        <v>624500</v>
      </c>
      <c r="EH151" s="532">
        <v>483250</v>
      </c>
      <c r="EI151" s="532">
        <v>0</v>
      </c>
      <c r="EJ151" s="291">
        <f>SUM(C151:EI151)</f>
        <v>46446933.179000005</v>
      </c>
      <c r="EK151" s="67"/>
      <c r="EL151" s="67"/>
      <c r="EM151" s="67"/>
      <c r="EN151" s="67"/>
      <c r="EO151" s="67"/>
      <c r="EP151" s="67"/>
      <c r="EQ151" s="67"/>
      <c r="ER151" s="67"/>
      <c r="ES151" s="67"/>
      <c r="ET151" s="67"/>
      <c r="EU151" s="67"/>
      <c r="EV151" s="67"/>
      <c r="EW151" s="67"/>
      <c r="EX151" s="67"/>
      <c r="EY151" s="67"/>
      <c r="EZ151" s="67"/>
    </row>
    <row r="152" spans="1:156" ht="15" thickBot="1">
      <c r="B152" s="605" t="s">
        <v>783</v>
      </c>
      <c r="C152" s="499">
        <v>150000</v>
      </c>
      <c r="D152" s="499">
        <v>136140</v>
      </c>
      <c r="E152" s="499">
        <v>486250</v>
      </c>
      <c r="F152" s="532">
        <v>2468</v>
      </c>
      <c r="G152" s="530">
        <v>3272811</v>
      </c>
      <c r="H152" s="530">
        <v>276667</v>
      </c>
      <c r="I152" s="532">
        <v>160613</v>
      </c>
      <c r="J152" s="532">
        <v>206620</v>
      </c>
      <c r="K152" s="529">
        <v>1755000</v>
      </c>
      <c r="L152" s="529">
        <v>1366000</v>
      </c>
      <c r="M152" s="499">
        <v>585333</v>
      </c>
      <c r="N152" s="532">
        <v>0</v>
      </c>
      <c r="O152" s="527">
        <v>0</v>
      </c>
      <c r="P152" s="499">
        <v>74617</v>
      </c>
      <c r="Q152" s="530">
        <v>159713</v>
      </c>
      <c r="R152" s="499">
        <v>2647101.59</v>
      </c>
      <c r="S152" s="499">
        <v>1894344.0099999998</v>
      </c>
      <c r="T152" s="499">
        <v>1141486.3999999999</v>
      </c>
      <c r="U152" s="499">
        <v>310700</v>
      </c>
      <c r="V152" s="499">
        <v>12676000</v>
      </c>
      <c r="W152" s="527">
        <v>40000</v>
      </c>
      <c r="X152" s="499">
        <v>31554680</v>
      </c>
      <c r="Y152" s="532">
        <v>29669</v>
      </c>
      <c r="Z152" s="532">
        <v>15000</v>
      </c>
      <c r="AA152" s="530">
        <v>1188650</v>
      </c>
      <c r="AB152" s="499">
        <v>1778375</v>
      </c>
      <c r="AC152" s="499">
        <v>788400</v>
      </c>
      <c r="AD152" s="499">
        <v>437900</v>
      </c>
      <c r="AE152" s="532">
        <v>5000000</v>
      </c>
      <c r="AF152" s="531">
        <v>495000</v>
      </c>
      <c r="AG152" s="499">
        <v>340275</v>
      </c>
      <c r="AH152" s="532">
        <v>0</v>
      </c>
      <c r="AI152" s="499">
        <v>0</v>
      </c>
      <c r="AJ152" s="499">
        <v>2844170.66</v>
      </c>
      <c r="AK152" s="499">
        <v>1520947.57</v>
      </c>
      <c r="AL152" s="499">
        <v>615697.42999999993</v>
      </c>
      <c r="AM152" s="499">
        <v>594706.66666666709</v>
      </c>
      <c r="AN152" s="499">
        <v>594706.67000000004</v>
      </c>
      <c r="AO152" s="499">
        <v>594706.67000000004</v>
      </c>
      <c r="AP152" s="529">
        <v>200000</v>
      </c>
      <c r="AQ152" s="531">
        <v>180000</v>
      </c>
      <c r="AR152" s="532">
        <v>100000</v>
      </c>
      <c r="AS152" s="532">
        <v>3677</v>
      </c>
      <c r="AT152" s="532">
        <v>12460</v>
      </c>
      <c r="AU152" s="531">
        <v>28734</v>
      </c>
      <c r="AV152" s="532">
        <v>1494</v>
      </c>
      <c r="AW152" s="532">
        <v>8410</v>
      </c>
      <c r="AX152" s="532">
        <v>0</v>
      </c>
      <c r="AY152" s="529">
        <v>3258121</v>
      </c>
      <c r="AZ152" s="532">
        <v>316976</v>
      </c>
      <c r="BA152" s="531">
        <v>57500</v>
      </c>
      <c r="BB152" s="529">
        <v>455655</v>
      </c>
      <c r="BC152" s="499">
        <v>4116285</v>
      </c>
      <c r="BD152" s="529">
        <v>1812915</v>
      </c>
      <c r="BE152" s="499">
        <v>42000</v>
      </c>
      <c r="BF152" s="499">
        <v>345000</v>
      </c>
      <c r="BG152" s="530">
        <v>4039000</v>
      </c>
      <c r="BH152" s="499">
        <v>0</v>
      </c>
      <c r="BI152" s="499">
        <v>0</v>
      </c>
      <c r="BJ152" s="499">
        <v>0</v>
      </c>
      <c r="BK152" s="529">
        <v>937000</v>
      </c>
      <c r="BL152" s="530">
        <v>1818334</v>
      </c>
      <c r="BM152" s="499">
        <v>600000</v>
      </c>
      <c r="BN152" s="499">
        <v>0</v>
      </c>
      <c r="BO152" s="531">
        <v>184580</v>
      </c>
      <c r="BP152" s="499">
        <v>3007600</v>
      </c>
      <c r="BQ152" s="499">
        <v>38735810</v>
      </c>
      <c r="BR152" s="532">
        <v>24000</v>
      </c>
      <c r="BS152" s="499">
        <v>8938660</v>
      </c>
      <c r="BT152" s="499">
        <v>0</v>
      </c>
      <c r="BU152" s="499">
        <v>0</v>
      </c>
      <c r="BV152" s="499">
        <v>0</v>
      </c>
      <c r="BW152" s="531">
        <v>0</v>
      </c>
      <c r="BX152" s="531">
        <v>4072046</v>
      </c>
      <c r="BY152" s="532">
        <v>4453</v>
      </c>
      <c r="BZ152" s="499">
        <v>0</v>
      </c>
      <c r="CA152" s="531">
        <v>120000</v>
      </c>
      <c r="CB152" s="499">
        <v>107651.66666666667</v>
      </c>
      <c r="CC152" s="499">
        <v>20709.666666666668</v>
      </c>
      <c r="CD152" s="499">
        <v>20709.666666666668</v>
      </c>
      <c r="CE152" s="531">
        <v>528700</v>
      </c>
      <c r="CF152" s="529">
        <v>20865</v>
      </c>
      <c r="CG152" s="530">
        <v>4337230</v>
      </c>
      <c r="CH152" s="499">
        <v>0</v>
      </c>
      <c r="CI152" s="532">
        <v>0</v>
      </c>
      <c r="CJ152" s="527">
        <v>0</v>
      </c>
      <c r="CK152" s="531">
        <v>3275721</v>
      </c>
      <c r="CL152" s="529">
        <v>366</v>
      </c>
      <c r="CM152" s="499">
        <v>1847924</v>
      </c>
      <c r="CN152" s="499">
        <v>2279750</v>
      </c>
      <c r="CO152" s="531">
        <v>60000</v>
      </c>
      <c r="CP152" s="499">
        <v>3420250</v>
      </c>
      <c r="CQ152" s="529">
        <v>3350000</v>
      </c>
      <c r="CR152" s="499">
        <v>2477000</v>
      </c>
      <c r="CS152" s="499">
        <v>119133000</v>
      </c>
      <c r="CT152" s="499">
        <v>150000</v>
      </c>
      <c r="CU152" s="499">
        <v>150000</v>
      </c>
      <c r="CV152" s="532">
        <v>62568</v>
      </c>
      <c r="CW152" s="531">
        <v>6963231</v>
      </c>
      <c r="CX152" s="532">
        <v>435150.94199999998</v>
      </c>
      <c r="CY152" s="532">
        <v>6806</v>
      </c>
      <c r="CZ152" s="499">
        <v>7307</v>
      </c>
      <c r="DA152" s="499">
        <v>367500</v>
      </c>
      <c r="DB152" s="532">
        <v>23900</v>
      </c>
      <c r="DC152" s="531">
        <v>4413173</v>
      </c>
      <c r="DD152" s="532">
        <v>6512284</v>
      </c>
      <c r="DE152" s="532">
        <v>7414983.2400000002</v>
      </c>
      <c r="DF152" s="529">
        <v>199356</v>
      </c>
      <c r="DG152" s="532">
        <v>4479910</v>
      </c>
      <c r="DH152" s="499">
        <v>21131.667000000001</v>
      </c>
      <c r="DI152" s="499">
        <v>0</v>
      </c>
      <c r="DJ152" s="499">
        <v>21131.67</v>
      </c>
      <c r="DK152" s="529">
        <v>4000</v>
      </c>
      <c r="DL152" s="529">
        <v>717000</v>
      </c>
      <c r="DM152" s="532">
        <v>26267</v>
      </c>
      <c r="DN152" s="532">
        <v>6700</v>
      </c>
      <c r="DO152" s="532">
        <v>16699387</v>
      </c>
      <c r="DP152" s="532">
        <v>125000</v>
      </c>
      <c r="DQ152" s="532">
        <v>727500</v>
      </c>
      <c r="DR152" s="499">
        <v>264175</v>
      </c>
      <c r="DS152" s="499">
        <v>842000</v>
      </c>
      <c r="DT152" s="499">
        <v>855228</v>
      </c>
      <c r="DU152" s="499">
        <v>4560700</v>
      </c>
      <c r="DV152" s="529">
        <v>774000</v>
      </c>
      <c r="DW152" s="499">
        <v>70469293</v>
      </c>
      <c r="DX152" s="499">
        <v>13091678</v>
      </c>
      <c r="DY152" s="499">
        <v>0</v>
      </c>
      <c r="DZ152" s="499">
        <v>62560</v>
      </c>
      <c r="EA152" s="527">
        <v>200000</v>
      </c>
      <c r="EB152" s="531">
        <v>0</v>
      </c>
      <c r="EC152" s="531">
        <v>1531030</v>
      </c>
      <c r="ED152" s="619">
        <v>1500</v>
      </c>
      <c r="EE152" s="499">
        <v>36575000</v>
      </c>
      <c r="EF152" s="499">
        <v>4442870</v>
      </c>
      <c r="EG152" s="499">
        <v>774500</v>
      </c>
      <c r="EH152" s="499">
        <v>1490340</v>
      </c>
      <c r="EI152" s="600">
        <v>487000</v>
      </c>
      <c r="EJ152" s="291">
        <f>SUM(C152:EI152)</f>
        <v>475991496.18566662</v>
      </c>
      <c r="EK152" s="67"/>
      <c r="EL152" s="67"/>
      <c r="EM152" s="67"/>
      <c r="EN152" s="67"/>
      <c r="EO152" s="67"/>
      <c r="EP152" s="67"/>
      <c r="EQ152" s="67"/>
      <c r="ER152" s="67"/>
      <c r="ES152" s="67"/>
      <c r="ET152" s="67"/>
      <c r="EU152" s="67"/>
      <c r="EV152" s="67"/>
      <c r="EW152" s="67"/>
      <c r="EX152" s="67"/>
      <c r="EY152" s="67"/>
      <c r="EZ152" s="67"/>
    </row>
    <row r="153" spans="1:156" ht="15.6" thickTop="1" thickBot="1">
      <c r="B153" s="605" t="s">
        <v>782</v>
      </c>
      <c r="C153" s="603">
        <v>1463559</v>
      </c>
      <c r="D153" s="499">
        <v>2722818</v>
      </c>
      <c r="E153" s="499">
        <v>486250</v>
      </c>
      <c r="F153" s="528">
        <v>2468</v>
      </c>
      <c r="G153" s="528">
        <v>3272811</v>
      </c>
      <c r="H153" s="528">
        <v>276667</v>
      </c>
      <c r="I153" s="528">
        <v>160613</v>
      </c>
      <c r="J153" s="528">
        <v>206620</v>
      </c>
      <c r="K153" s="527">
        <v>5167000</v>
      </c>
      <c r="L153" s="527">
        <v>5778000</v>
      </c>
      <c r="M153" s="499">
        <v>922596.3</v>
      </c>
      <c r="N153" s="499">
        <v>7300000</v>
      </c>
      <c r="O153" s="529">
        <v>9000000</v>
      </c>
      <c r="P153" s="499">
        <v>1492344</v>
      </c>
      <c r="Q153" s="499">
        <v>159713</v>
      </c>
      <c r="R153" s="499">
        <v>4495655.99</v>
      </c>
      <c r="S153" s="499">
        <v>3214740.01</v>
      </c>
      <c r="T153" s="499">
        <v>1933724</v>
      </c>
      <c r="U153" s="499">
        <v>680000</v>
      </c>
      <c r="V153" s="499">
        <v>44280000</v>
      </c>
      <c r="W153" s="528">
        <v>60000</v>
      </c>
      <c r="X153" s="499">
        <v>31554680</v>
      </c>
      <c r="Y153" s="528">
        <v>29669</v>
      </c>
      <c r="Z153" s="499">
        <v>30000</v>
      </c>
      <c r="AA153" s="528">
        <v>2036650</v>
      </c>
      <c r="AB153" s="499">
        <v>1858375</v>
      </c>
      <c r="AC153" s="499">
        <v>788400</v>
      </c>
      <c r="AD153" s="499">
        <v>2055980</v>
      </c>
      <c r="AE153" s="499">
        <v>14000000</v>
      </c>
      <c r="AF153" s="499">
        <v>2524000</v>
      </c>
      <c r="AG153" s="499">
        <v>1212389</v>
      </c>
      <c r="AH153" s="499">
        <v>8157828</v>
      </c>
      <c r="AI153" s="499">
        <v>5684877</v>
      </c>
      <c r="AJ153" s="499">
        <v>3514115.66</v>
      </c>
      <c r="AK153" s="499">
        <v>2190892.5700000003</v>
      </c>
      <c r="AL153" s="499">
        <v>1285640.43</v>
      </c>
      <c r="AM153" s="499">
        <v>594706.66666666709</v>
      </c>
      <c r="AN153" s="499">
        <v>594706.67000000004</v>
      </c>
      <c r="AO153" s="499">
        <v>594706.67000000004</v>
      </c>
      <c r="AP153" s="499">
        <v>200000</v>
      </c>
      <c r="AQ153" s="499">
        <v>180000</v>
      </c>
      <c r="AR153" s="499">
        <v>415000</v>
      </c>
      <c r="AS153" s="528">
        <v>3677</v>
      </c>
      <c r="AT153" s="528">
        <v>12460</v>
      </c>
      <c r="AU153" s="499">
        <v>66734</v>
      </c>
      <c r="AV153" s="528">
        <v>1494</v>
      </c>
      <c r="AW153" s="528">
        <v>8410</v>
      </c>
      <c r="AX153" s="528">
        <v>92672</v>
      </c>
      <c r="AY153" s="499">
        <v>3258121</v>
      </c>
      <c r="AZ153" s="528">
        <v>493213</v>
      </c>
      <c r="BA153" s="499">
        <v>78500</v>
      </c>
      <c r="BB153" s="499">
        <v>455655</v>
      </c>
      <c r="BC153" s="499">
        <v>4116285</v>
      </c>
      <c r="BD153" s="499">
        <v>1812915</v>
      </c>
      <c r="BE153" s="499">
        <v>42000</v>
      </c>
      <c r="BF153" s="499">
        <v>345000</v>
      </c>
      <c r="BG153" s="528">
        <v>5257000</v>
      </c>
      <c r="BH153" s="499">
        <v>3000000</v>
      </c>
      <c r="BI153" s="499">
        <v>3000000</v>
      </c>
      <c r="BJ153" s="499">
        <v>2000000</v>
      </c>
      <c r="BK153" s="499">
        <v>937000</v>
      </c>
      <c r="BL153" s="528">
        <v>1818334</v>
      </c>
      <c r="BM153" s="499">
        <v>5887181</v>
      </c>
      <c r="BN153" s="499">
        <v>682000</v>
      </c>
      <c r="BO153" s="527">
        <v>14372940</v>
      </c>
      <c r="BP153" s="499">
        <v>15563300</v>
      </c>
      <c r="BQ153" s="499">
        <v>64915430</v>
      </c>
      <c r="BR153" s="528">
        <v>24000</v>
      </c>
      <c r="BS153" s="499">
        <v>9510660</v>
      </c>
      <c r="BT153" s="499">
        <v>3612630</v>
      </c>
      <c r="BU153" s="499">
        <v>3612630</v>
      </c>
      <c r="BV153" s="499">
        <v>3612630</v>
      </c>
      <c r="BW153" s="527">
        <v>1351200</v>
      </c>
      <c r="BX153" s="527">
        <v>4350928</v>
      </c>
      <c r="BY153" s="528">
        <v>4453</v>
      </c>
      <c r="BZ153" s="499">
        <v>17220</v>
      </c>
      <c r="CA153" s="527">
        <v>120000</v>
      </c>
      <c r="CB153" s="499">
        <v>842161.66666666663</v>
      </c>
      <c r="CC153" s="499">
        <v>20709.666666666668</v>
      </c>
      <c r="CD153" s="499">
        <v>20709.666666666668</v>
      </c>
      <c r="CE153" s="499">
        <v>1428700</v>
      </c>
      <c r="CF153" s="499">
        <v>20865</v>
      </c>
      <c r="CG153" s="528">
        <v>4344402</v>
      </c>
      <c r="CH153" s="499">
        <v>69300000</v>
      </c>
      <c r="CI153" s="528">
        <v>120000</v>
      </c>
      <c r="CJ153" s="528">
        <v>1614000</v>
      </c>
      <c r="CK153" s="527">
        <v>3897965</v>
      </c>
      <c r="CL153" s="499">
        <v>366</v>
      </c>
      <c r="CM153" s="499">
        <v>1847924</v>
      </c>
      <c r="CN153" s="499">
        <v>2279750</v>
      </c>
      <c r="CO153" s="527">
        <v>1085000</v>
      </c>
      <c r="CP153" s="499">
        <v>3420250</v>
      </c>
      <c r="CQ153" s="527">
        <v>18720000</v>
      </c>
      <c r="CR153" s="499">
        <v>3276262</v>
      </c>
      <c r="CS153" s="499">
        <v>274081000</v>
      </c>
      <c r="CT153" s="499">
        <v>1617558</v>
      </c>
      <c r="CU153" s="499">
        <v>213615</v>
      </c>
      <c r="CV153" s="528">
        <v>62568</v>
      </c>
      <c r="CW153" s="528">
        <v>6963231</v>
      </c>
      <c r="CX153" s="528">
        <v>607485.94200000004</v>
      </c>
      <c r="CY153" s="528">
        <v>6806</v>
      </c>
      <c r="CZ153" s="499">
        <v>7307</v>
      </c>
      <c r="DA153" s="499">
        <v>367500</v>
      </c>
      <c r="DB153" s="528">
        <v>23900</v>
      </c>
      <c r="DC153" s="499">
        <v>4413173</v>
      </c>
      <c r="DD153" s="499">
        <v>16280710</v>
      </c>
      <c r="DE153" s="499">
        <v>7414983.2400000002</v>
      </c>
      <c r="DF153" s="499">
        <v>199356</v>
      </c>
      <c r="DG153" s="499">
        <v>4479910</v>
      </c>
      <c r="DH153" s="499">
        <v>528289.66700000002</v>
      </c>
      <c r="DI153" s="499">
        <v>528289.66999999993</v>
      </c>
      <c r="DJ153" s="499">
        <v>528289.66999999993</v>
      </c>
      <c r="DK153" s="499">
        <v>6000</v>
      </c>
      <c r="DL153" s="527">
        <v>717000</v>
      </c>
      <c r="DM153" s="499">
        <v>26267</v>
      </c>
      <c r="DN153" s="528">
        <v>6700</v>
      </c>
      <c r="DO153" s="499">
        <v>23209387</v>
      </c>
      <c r="DP153" s="499">
        <v>1575000</v>
      </c>
      <c r="DQ153" s="499">
        <v>727500</v>
      </c>
      <c r="DR153" s="499">
        <v>5283502</v>
      </c>
      <c r="DS153" s="499">
        <v>1242000</v>
      </c>
      <c r="DT153" s="499">
        <v>855228</v>
      </c>
      <c r="DU153" s="499">
        <v>8806400</v>
      </c>
      <c r="DV153" s="527">
        <v>774000</v>
      </c>
      <c r="DW153" s="499">
        <v>70469293</v>
      </c>
      <c r="DX153" s="499">
        <v>18047203</v>
      </c>
      <c r="DY153" s="499">
        <v>500000</v>
      </c>
      <c r="DZ153" s="499">
        <v>1313733</v>
      </c>
      <c r="EA153" s="528">
        <v>200000</v>
      </c>
      <c r="EB153" s="499">
        <v>8613000</v>
      </c>
      <c r="EC153" s="499">
        <v>1531030</v>
      </c>
      <c r="ED153" s="620">
        <v>1500</v>
      </c>
      <c r="EE153" s="499">
        <v>43943770</v>
      </c>
      <c r="EF153" s="499">
        <v>4442870</v>
      </c>
      <c r="EG153" s="499">
        <v>774500</v>
      </c>
      <c r="EH153" s="499">
        <v>1490340</v>
      </c>
      <c r="EI153" s="600">
        <v>487000</v>
      </c>
      <c r="EJ153" s="291">
        <f>SUM(C153:EI153)</f>
        <v>952621128.15566671</v>
      </c>
      <c r="EK153" s="116">
        <f>D143</f>
        <v>952621128.15566671</v>
      </c>
      <c r="EL153" s="67"/>
      <c r="EM153" s="67"/>
      <c r="EN153" s="67"/>
      <c r="EO153" s="67"/>
      <c r="EP153" s="67"/>
      <c r="EQ153" s="67"/>
      <c r="ER153" s="67"/>
      <c r="ES153" s="67"/>
      <c r="ET153" s="67"/>
      <c r="EU153" s="67"/>
      <c r="EV153" s="67"/>
      <c r="EW153" s="67"/>
      <c r="EX153" s="67"/>
      <c r="EY153" s="67"/>
      <c r="EZ153" s="67"/>
    </row>
    <row r="154" spans="1:156" ht="15" thickTop="1">
      <c r="B154" s="605" t="s">
        <v>832</v>
      </c>
      <c r="C154" s="532">
        <v>150000</v>
      </c>
      <c r="D154" s="532">
        <v>136140</v>
      </c>
      <c r="E154" s="532">
        <v>200221</v>
      </c>
      <c r="F154" s="532">
        <v>2066</v>
      </c>
      <c r="G154" s="532">
        <v>1443421</v>
      </c>
      <c r="H154" s="532">
        <v>0</v>
      </c>
      <c r="I154" s="532">
        <v>83143</v>
      </c>
      <c r="J154" s="532">
        <v>42673</v>
      </c>
      <c r="K154" s="532">
        <v>1755000</v>
      </c>
      <c r="L154" s="532">
        <v>1366000</v>
      </c>
      <c r="M154" s="532">
        <v>585333</v>
      </c>
      <c r="N154" s="532">
        <v>0</v>
      </c>
      <c r="O154" s="532">
        <v>0</v>
      </c>
      <c r="P154" s="532">
        <v>74617</v>
      </c>
      <c r="Q154" s="532">
        <v>0</v>
      </c>
      <c r="R154" s="532">
        <v>2647101.59</v>
      </c>
      <c r="S154" s="532">
        <v>1894344.01</v>
      </c>
      <c r="T154" s="532">
        <v>1141486.3999999999</v>
      </c>
      <c r="U154" s="532">
        <v>310700</v>
      </c>
      <c r="V154" s="532">
        <v>12676000</v>
      </c>
      <c r="W154" s="532">
        <v>40000</v>
      </c>
      <c r="X154" s="532">
        <v>24500000</v>
      </c>
      <c r="Y154" s="532">
        <v>29669</v>
      </c>
      <c r="Z154" s="532">
        <v>15000</v>
      </c>
      <c r="AA154" s="532">
        <v>1073960</v>
      </c>
      <c r="AB154" s="532">
        <v>1643912</v>
      </c>
      <c r="AC154" s="532">
        <v>488400</v>
      </c>
      <c r="AD154" s="532">
        <v>437900</v>
      </c>
      <c r="AE154" s="532">
        <v>5000000</v>
      </c>
      <c r="AF154" s="532">
        <v>495000</v>
      </c>
      <c r="AG154" s="532">
        <v>340275</v>
      </c>
      <c r="AH154" s="532">
        <v>0</v>
      </c>
      <c r="AI154" s="532">
        <v>0</v>
      </c>
      <c r="AJ154" s="532">
        <v>2844170.66</v>
      </c>
      <c r="AK154" s="532">
        <v>1520947.57</v>
      </c>
      <c r="AL154" s="532">
        <v>615697.42999999993</v>
      </c>
      <c r="AM154" s="532">
        <v>522168.33666666702</v>
      </c>
      <c r="AN154" s="532">
        <v>522168.34</v>
      </c>
      <c r="AO154" s="532">
        <v>522168.34</v>
      </c>
      <c r="AP154" s="532">
        <v>200000</v>
      </c>
      <c r="AQ154" s="532">
        <v>50600</v>
      </c>
      <c r="AR154" s="532">
        <v>100000</v>
      </c>
      <c r="AS154" s="532">
        <v>3677</v>
      </c>
      <c r="AT154" s="532">
        <v>12460</v>
      </c>
      <c r="AU154" s="532">
        <v>27235</v>
      </c>
      <c r="AV154" s="532">
        <v>1494</v>
      </c>
      <c r="AW154" s="532">
        <v>4000</v>
      </c>
      <c r="AX154" s="532">
        <v>0</v>
      </c>
      <c r="AY154" s="532">
        <v>2934129</v>
      </c>
      <c r="AZ154" s="532">
        <v>316976</v>
      </c>
      <c r="BA154" s="532">
        <v>17500</v>
      </c>
      <c r="BB154" s="532">
        <v>363723</v>
      </c>
      <c r="BC154" s="532">
        <v>3116285</v>
      </c>
      <c r="BD154" s="532">
        <v>1764415</v>
      </c>
      <c r="BE154" s="532">
        <v>42000</v>
      </c>
      <c r="BF154" s="532">
        <v>179000</v>
      </c>
      <c r="BG154" s="532">
        <v>4039000</v>
      </c>
      <c r="BH154" s="532">
        <v>0</v>
      </c>
      <c r="BI154" s="532">
        <v>0</v>
      </c>
      <c r="BJ154" s="532">
        <v>0</v>
      </c>
      <c r="BK154" s="532">
        <v>937000</v>
      </c>
      <c r="BL154" s="532">
        <v>798708</v>
      </c>
      <c r="BM154" s="532">
        <v>600000</v>
      </c>
      <c r="BN154" s="532">
        <v>0</v>
      </c>
      <c r="BO154" s="532">
        <v>184580</v>
      </c>
      <c r="BP154" s="532">
        <v>3007600</v>
      </c>
      <c r="BQ154" s="532">
        <v>33411250</v>
      </c>
      <c r="BR154" s="532">
        <v>24000</v>
      </c>
      <c r="BS154" s="532">
        <v>8588660</v>
      </c>
      <c r="BT154" s="532">
        <v>0</v>
      </c>
      <c r="BU154" s="532">
        <v>0</v>
      </c>
      <c r="BV154" s="532">
        <v>0</v>
      </c>
      <c r="BW154" s="532">
        <v>0</v>
      </c>
      <c r="BX154" s="532">
        <v>3872046</v>
      </c>
      <c r="BY154" s="532">
        <v>4000</v>
      </c>
      <c r="BZ154" s="532">
        <v>0</v>
      </c>
      <c r="CA154" s="532">
        <v>120000</v>
      </c>
      <c r="CB154" s="532">
        <v>106651.66666666667</v>
      </c>
      <c r="CC154" s="532">
        <v>19709.666666666668</v>
      </c>
      <c r="CD154" s="532">
        <v>19709.666666666668</v>
      </c>
      <c r="CE154" s="532">
        <v>528700</v>
      </c>
      <c r="CF154" s="532">
        <v>20865</v>
      </c>
      <c r="CG154" s="532">
        <v>3767882</v>
      </c>
      <c r="CH154" s="532">
        <v>0</v>
      </c>
      <c r="CI154" s="532">
        <v>0</v>
      </c>
      <c r="CJ154" s="532">
        <v>0</v>
      </c>
      <c r="CK154" s="532">
        <v>2591051</v>
      </c>
      <c r="CL154" s="532">
        <v>0</v>
      </c>
      <c r="CM154" s="532">
        <v>1342129</v>
      </c>
      <c r="CN154" s="532">
        <v>495504</v>
      </c>
      <c r="CO154" s="532">
        <v>60000</v>
      </c>
      <c r="CP154" s="532">
        <v>3420250</v>
      </c>
      <c r="CQ154" s="532">
        <v>3350000</v>
      </c>
      <c r="CR154" s="532">
        <v>2477000</v>
      </c>
      <c r="CS154" s="532">
        <v>119133000</v>
      </c>
      <c r="CT154" s="532">
        <v>150000</v>
      </c>
      <c r="CU154" s="532">
        <v>150000</v>
      </c>
      <c r="CV154" s="532">
        <v>46073</v>
      </c>
      <c r="CW154" s="532">
        <v>5408716</v>
      </c>
      <c r="CX154" s="532">
        <v>279654.99300000002</v>
      </c>
      <c r="CY154" s="532">
        <v>6129</v>
      </c>
      <c r="CZ154" s="532">
        <v>7307</v>
      </c>
      <c r="DA154" s="532">
        <v>0</v>
      </c>
      <c r="DB154" s="532">
        <v>0</v>
      </c>
      <c r="DC154" s="532">
        <v>3723190</v>
      </c>
      <c r="DD154" s="532">
        <v>4884213</v>
      </c>
      <c r="DE154" s="532">
        <v>0</v>
      </c>
      <c r="DF154" s="532">
        <v>27090</v>
      </c>
      <c r="DG154" s="532">
        <v>2000000</v>
      </c>
      <c r="DH154" s="532">
        <v>21131.667000000001</v>
      </c>
      <c r="DI154" s="532">
        <v>0</v>
      </c>
      <c r="DJ154" s="532">
        <v>21131.67</v>
      </c>
      <c r="DK154" s="532">
        <v>4000</v>
      </c>
      <c r="DL154" s="532">
        <v>717000</v>
      </c>
      <c r="DM154" s="532">
        <v>26267</v>
      </c>
      <c r="DN154" s="532">
        <v>2700</v>
      </c>
      <c r="DO154" s="532">
        <v>13447383</v>
      </c>
      <c r="DP154" s="532">
        <v>125000</v>
      </c>
      <c r="DQ154" s="532">
        <v>727500</v>
      </c>
      <c r="DR154" s="532">
        <v>264175</v>
      </c>
      <c r="DS154" s="532">
        <v>664500</v>
      </c>
      <c r="DT154" s="532">
        <v>855228</v>
      </c>
      <c r="DU154" s="532">
        <v>4439700</v>
      </c>
      <c r="DV154" s="532">
        <v>774000</v>
      </c>
      <c r="DW154" s="532">
        <v>70469293</v>
      </c>
      <c r="DX154" s="532">
        <v>10331678</v>
      </c>
      <c r="DY154" s="532">
        <v>0</v>
      </c>
      <c r="DZ154" s="532">
        <v>62560</v>
      </c>
      <c r="EA154" s="532">
        <v>200000</v>
      </c>
      <c r="EB154" s="532">
        <v>0</v>
      </c>
      <c r="EC154" s="532">
        <v>1029130</v>
      </c>
      <c r="ED154" s="532">
        <v>1500</v>
      </c>
      <c r="EE154" s="532">
        <v>36575000</v>
      </c>
      <c r="EF154" s="532">
        <v>3286750</v>
      </c>
      <c r="EG154" s="532">
        <v>150000</v>
      </c>
      <c r="EH154" s="532">
        <v>1007090</v>
      </c>
      <c r="EI154" s="532">
        <v>487000</v>
      </c>
      <c r="EJ154" s="291">
        <f>SUM(C154:EI154)</f>
        <v>429544563.00666666</v>
      </c>
      <c r="EK154" s="67"/>
      <c r="EL154" s="67"/>
      <c r="EM154" s="67"/>
      <c r="EN154" s="67"/>
      <c r="EO154" s="67"/>
      <c r="EP154" s="67"/>
      <c r="EQ154" s="67"/>
      <c r="ER154" s="67"/>
      <c r="ES154" s="67"/>
      <c r="ET154" s="67"/>
      <c r="EU154" s="67"/>
      <c r="EV154" s="67"/>
      <c r="EW154" s="67"/>
      <c r="EX154" s="67"/>
      <c r="EY154" s="67"/>
      <c r="EZ154" s="67"/>
    </row>
    <row r="155" spans="1:156" ht="48">
      <c r="B155" s="605" t="s">
        <v>201</v>
      </c>
      <c r="C155" s="509" t="s">
        <v>135</v>
      </c>
      <c r="D155" s="509" t="s">
        <v>115</v>
      </c>
      <c r="E155" s="510" t="s">
        <v>115</v>
      </c>
      <c r="F155" s="507" t="s">
        <v>632</v>
      </c>
      <c r="G155" s="507" t="s">
        <v>712</v>
      </c>
      <c r="H155" s="507" t="s">
        <v>714</v>
      </c>
      <c r="I155" s="507" t="s">
        <v>632</v>
      </c>
      <c r="J155" s="507" t="s">
        <v>632</v>
      </c>
      <c r="K155" s="508" t="s">
        <v>142</v>
      </c>
      <c r="L155" s="508" t="s">
        <v>142</v>
      </c>
      <c r="M155" s="509" t="s">
        <v>115</v>
      </c>
      <c r="N155" s="507" t="s">
        <v>755</v>
      </c>
      <c r="O155" s="504" t="s">
        <v>693</v>
      </c>
      <c r="P155" s="509" t="s">
        <v>152</v>
      </c>
      <c r="Q155" s="507" t="s">
        <v>706</v>
      </c>
      <c r="R155" s="509" t="s">
        <v>757</v>
      </c>
      <c r="S155" s="509" t="s">
        <v>639</v>
      </c>
      <c r="T155" s="509" t="s">
        <v>694</v>
      </c>
      <c r="U155" s="509" t="s">
        <v>158</v>
      </c>
      <c r="V155" s="509" t="s">
        <v>148</v>
      </c>
      <c r="W155" s="507" t="s">
        <v>781</v>
      </c>
      <c r="X155" s="509" t="s">
        <v>647</v>
      </c>
      <c r="Y155" s="507" t="s">
        <v>632</v>
      </c>
      <c r="Z155" s="504" t="s">
        <v>553</v>
      </c>
      <c r="AA155" s="507" t="s">
        <v>704</v>
      </c>
      <c r="AB155" s="625" t="s">
        <v>122</v>
      </c>
      <c r="AC155" s="626" t="s">
        <v>135</v>
      </c>
      <c r="AD155" s="626" t="s">
        <v>160</v>
      </c>
      <c r="AE155" s="627" t="s">
        <v>689</v>
      </c>
      <c r="AF155" s="628" t="s">
        <v>750</v>
      </c>
      <c r="AG155" s="626" t="s">
        <v>160</v>
      </c>
      <c r="AH155" s="628" t="s">
        <v>276</v>
      </c>
      <c r="AI155" s="626" t="s">
        <v>160</v>
      </c>
      <c r="AJ155" s="626" t="s">
        <v>757</v>
      </c>
      <c r="AK155" s="626" t="s">
        <v>639</v>
      </c>
      <c r="AL155" s="626" t="s">
        <v>694</v>
      </c>
      <c r="AM155" s="625" t="s">
        <v>639</v>
      </c>
      <c r="AN155" s="625" t="s">
        <v>117</v>
      </c>
      <c r="AO155" s="625" t="s">
        <v>694</v>
      </c>
      <c r="AP155" s="629" t="s">
        <v>719</v>
      </c>
      <c r="AQ155" s="628" t="s">
        <v>105</v>
      </c>
      <c r="AR155" s="627" t="s">
        <v>667</v>
      </c>
      <c r="AS155" s="627" t="s">
        <v>559</v>
      </c>
      <c r="AT155" s="627" t="s">
        <v>557</v>
      </c>
      <c r="AU155" s="628" t="s">
        <v>747</v>
      </c>
      <c r="AV155" s="627" t="s">
        <v>555</v>
      </c>
      <c r="AW155" s="627" t="s">
        <v>660</v>
      </c>
      <c r="AX155" s="627" t="s">
        <v>170</v>
      </c>
      <c r="AY155" s="629" t="s">
        <v>727</v>
      </c>
      <c r="AZ155" s="627" t="s">
        <v>756</v>
      </c>
      <c r="BA155" s="628" t="s">
        <v>745</v>
      </c>
      <c r="BB155" s="629" t="s">
        <v>714</v>
      </c>
      <c r="BC155" s="626" t="s">
        <v>646</v>
      </c>
      <c r="BD155" s="629" t="s">
        <v>729</v>
      </c>
      <c r="BE155" s="626" t="s">
        <v>692</v>
      </c>
      <c r="BF155" s="626" t="s">
        <v>166</v>
      </c>
      <c r="BG155" s="628" t="s">
        <v>703</v>
      </c>
      <c r="BH155" s="630" t="s">
        <v>172</v>
      </c>
      <c r="BI155" s="630" t="s">
        <v>172</v>
      </c>
      <c r="BJ155" s="628" t="s">
        <v>172</v>
      </c>
      <c r="BK155" s="629" t="s">
        <v>632</v>
      </c>
      <c r="BL155" s="628" t="s">
        <v>710</v>
      </c>
      <c r="BM155" s="626" t="s">
        <v>135</v>
      </c>
      <c r="BN155" s="626" t="s">
        <v>639</v>
      </c>
      <c r="BO155" s="628" t="s">
        <v>710</v>
      </c>
      <c r="BP155" s="626" t="s">
        <v>638</v>
      </c>
      <c r="BQ155" s="625" t="s">
        <v>122</v>
      </c>
      <c r="BR155" s="627" t="s">
        <v>678</v>
      </c>
      <c r="BS155" s="625" t="s">
        <v>122</v>
      </c>
      <c r="BT155" s="626" t="s">
        <v>757</v>
      </c>
      <c r="BU155" s="626" t="s">
        <v>639</v>
      </c>
      <c r="BV155" s="626" t="s">
        <v>694</v>
      </c>
      <c r="BW155" s="628" t="s">
        <v>737</v>
      </c>
      <c r="BX155" s="628" t="s">
        <v>710</v>
      </c>
      <c r="BY155" s="628" t="s">
        <v>632</v>
      </c>
      <c r="BZ155" s="625" t="s">
        <v>175</v>
      </c>
      <c r="CA155" s="628" t="s">
        <v>740</v>
      </c>
      <c r="CB155" s="625" t="s">
        <v>117</v>
      </c>
      <c r="CC155" s="625" t="s">
        <v>639</v>
      </c>
      <c r="CD155" s="625" t="s">
        <v>694</v>
      </c>
      <c r="CE155" s="628" t="s">
        <v>710</v>
      </c>
      <c r="CF155" s="629" t="s">
        <v>717</v>
      </c>
      <c r="CG155" s="628" t="s">
        <v>708</v>
      </c>
      <c r="CH155" s="625" t="s">
        <v>237</v>
      </c>
      <c r="CI155" s="631" t="s">
        <v>657</v>
      </c>
      <c r="CJ155" s="628" t="s">
        <v>780</v>
      </c>
      <c r="CK155" s="628" t="s">
        <v>743</v>
      </c>
      <c r="CL155" s="629" t="s">
        <v>724</v>
      </c>
      <c r="CM155" s="625" t="s">
        <v>111</v>
      </c>
      <c r="CN155" s="625" t="s">
        <v>126</v>
      </c>
      <c r="CO155" s="628" t="s">
        <v>752</v>
      </c>
      <c r="CP155" s="626" t="s">
        <v>644</v>
      </c>
      <c r="CQ155" s="632" t="s">
        <v>749</v>
      </c>
      <c r="CR155" s="626" t="s">
        <v>142</v>
      </c>
      <c r="CS155" s="625" t="s">
        <v>696</v>
      </c>
      <c r="CT155" s="626" t="s">
        <v>115</v>
      </c>
      <c r="CU155" s="626" t="s">
        <v>150</v>
      </c>
      <c r="CV155" s="627" t="s">
        <v>695</v>
      </c>
      <c r="CW155" s="628" t="s">
        <v>731</v>
      </c>
      <c r="CX155" s="628" t="s">
        <v>662</v>
      </c>
      <c r="CY155" s="628" t="s">
        <v>632</v>
      </c>
      <c r="CZ155" s="626" t="s">
        <v>178</v>
      </c>
      <c r="DA155" s="625" t="s">
        <v>113</v>
      </c>
      <c r="DB155" s="627" t="s">
        <v>684</v>
      </c>
      <c r="DC155" s="628" t="s">
        <v>732</v>
      </c>
      <c r="DD155" s="628" t="s">
        <v>687</v>
      </c>
      <c r="DE155" s="628" t="s">
        <v>688</v>
      </c>
      <c r="DF155" s="629" t="s">
        <v>722</v>
      </c>
      <c r="DG155" s="633" t="s">
        <v>279</v>
      </c>
      <c r="DH155" s="626" t="s">
        <v>757</v>
      </c>
      <c r="DI155" s="626" t="s">
        <v>639</v>
      </c>
      <c r="DJ155" s="626" t="s">
        <v>694</v>
      </c>
      <c r="DK155" s="629" t="s">
        <v>714</v>
      </c>
      <c r="DL155" s="628" t="s">
        <v>749</v>
      </c>
      <c r="DM155" s="634" t="s">
        <v>691</v>
      </c>
      <c r="DN155" s="627" t="s">
        <v>690</v>
      </c>
      <c r="DO155" s="627" t="s">
        <v>275</v>
      </c>
      <c r="DP155" s="627" t="s">
        <v>669</v>
      </c>
      <c r="DQ155" s="627" t="s">
        <v>671</v>
      </c>
      <c r="DR155" s="626" t="s">
        <v>120</v>
      </c>
      <c r="DS155" s="626" t="s">
        <v>115</v>
      </c>
      <c r="DT155" s="628" t="s">
        <v>686</v>
      </c>
      <c r="DU155" s="628" t="s">
        <v>650</v>
      </c>
      <c r="DV155" s="628" t="s">
        <v>749</v>
      </c>
      <c r="DW155" s="626" t="s">
        <v>634</v>
      </c>
      <c r="DX155" s="625" t="s">
        <v>120</v>
      </c>
      <c r="DY155" s="626" t="s">
        <v>636</v>
      </c>
      <c r="DZ155" s="626" t="s">
        <v>156</v>
      </c>
      <c r="EA155" s="628" t="s">
        <v>754</v>
      </c>
      <c r="EB155" s="628" t="s">
        <v>105</v>
      </c>
      <c r="EC155" s="628" t="s">
        <v>105</v>
      </c>
      <c r="ED155" s="635" t="s">
        <v>815</v>
      </c>
      <c r="EE155" s="625" t="s">
        <v>826</v>
      </c>
      <c r="EF155" s="625" t="s">
        <v>824</v>
      </c>
      <c r="EG155" s="625" t="s">
        <v>822</v>
      </c>
      <c r="EH155" s="625" t="s">
        <v>820</v>
      </c>
      <c r="EI155" s="628" t="s">
        <v>817</v>
      </c>
      <c r="EK155" s="67"/>
      <c r="EL155" s="67"/>
      <c r="EM155" s="67"/>
      <c r="EN155" s="67"/>
      <c r="EO155" s="67"/>
      <c r="EP155" s="67"/>
      <c r="EQ155" s="67"/>
      <c r="ER155" s="67"/>
      <c r="ES155" s="67"/>
      <c r="ET155" s="67"/>
      <c r="EU155" s="67"/>
      <c r="EV155" s="67"/>
      <c r="EW155" s="67"/>
      <c r="EX155" s="67"/>
      <c r="EY155" s="67"/>
      <c r="EZ155" s="67"/>
    </row>
    <row r="156" spans="1:156">
      <c r="B156" s="605" t="s">
        <v>779</v>
      </c>
      <c r="C156" s="507">
        <f t="shared" ref="C156:AH156" si="5">COUNT(C159:C175)</f>
        <v>2</v>
      </c>
      <c r="D156" s="507">
        <f t="shared" si="5"/>
        <v>2</v>
      </c>
      <c r="E156" s="507">
        <f t="shared" si="5"/>
        <v>2</v>
      </c>
      <c r="F156" s="507">
        <f t="shared" si="5"/>
        <v>3</v>
      </c>
      <c r="G156" s="507">
        <f t="shared" si="5"/>
        <v>6</v>
      </c>
      <c r="H156" s="507">
        <f t="shared" si="5"/>
        <v>16</v>
      </c>
      <c r="I156" s="507">
        <f t="shared" si="5"/>
        <v>3</v>
      </c>
      <c r="J156" s="507">
        <f t="shared" si="5"/>
        <v>3</v>
      </c>
      <c r="K156" s="507">
        <f t="shared" si="5"/>
        <v>2</v>
      </c>
      <c r="L156" s="507">
        <f t="shared" si="5"/>
        <v>2</v>
      </c>
      <c r="M156" s="507">
        <f t="shared" si="5"/>
        <v>2</v>
      </c>
      <c r="N156" s="507">
        <f t="shared" si="5"/>
        <v>6</v>
      </c>
      <c r="O156" s="507">
        <f t="shared" si="5"/>
        <v>2</v>
      </c>
      <c r="P156" s="507">
        <f t="shared" si="5"/>
        <v>2</v>
      </c>
      <c r="Q156" s="507">
        <f t="shared" si="5"/>
        <v>2</v>
      </c>
      <c r="R156" s="507">
        <f t="shared" si="5"/>
        <v>2</v>
      </c>
      <c r="S156" s="507">
        <f t="shared" si="5"/>
        <v>5</v>
      </c>
      <c r="T156" s="507">
        <f t="shared" si="5"/>
        <v>3</v>
      </c>
      <c r="U156" s="507">
        <f t="shared" si="5"/>
        <v>2</v>
      </c>
      <c r="V156" s="507">
        <f t="shared" si="5"/>
        <v>3</v>
      </c>
      <c r="W156" s="507">
        <f t="shared" si="5"/>
        <v>4</v>
      </c>
      <c r="X156" s="507">
        <f t="shared" si="5"/>
        <v>16</v>
      </c>
      <c r="Y156" s="507">
        <f t="shared" si="5"/>
        <v>3</v>
      </c>
      <c r="Z156" s="507">
        <f t="shared" si="5"/>
        <v>9</v>
      </c>
      <c r="AA156" s="507">
        <f t="shared" si="5"/>
        <v>3</v>
      </c>
      <c r="AB156" s="507">
        <f t="shared" si="5"/>
        <v>2</v>
      </c>
      <c r="AC156" s="507">
        <f t="shared" si="5"/>
        <v>2</v>
      </c>
      <c r="AD156" s="507">
        <f t="shared" si="5"/>
        <v>2</v>
      </c>
      <c r="AE156" s="507">
        <f t="shared" si="5"/>
        <v>3</v>
      </c>
      <c r="AF156" s="507">
        <f t="shared" si="5"/>
        <v>3</v>
      </c>
      <c r="AG156" s="507">
        <f t="shared" si="5"/>
        <v>2</v>
      </c>
      <c r="AH156" s="507">
        <f t="shared" si="5"/>
        <v>15</v>
      </c>
      <c r="AI156" s="507">
        <f t="shared" ref="AI156:BN156" si="6">COUNT(AI159:AI175)</f>
        <v>2</v>
      </c>
      <c r="AJ156" s="507">
        <f t="shared" si="6"/>
        <v>7</v>
      </c>
      <c r="AK156" s="507">
        <f t="shared" si="6"/>
        <v>5</v>
      </c>
      <c r="AL156" s="507">
        <f t="shared" si="6"/>
        <v>3</v>
      </c>
      <c r="AM156" s="507">
        <f t="shared" si="6"/>
        <v>5</v>
      </c>
      <c r="AN156" s="507">
        <f t="shared" si="6"/>
        <v>7</v>
      </c>
      <c r="AO156" s="507">
        <f t="shared" si="6"/>
        <v>3</v>
      </c>
      <c r="AP156" s="507">
        <f t="shared" si="6"/>
        <v>3</v>
      </c>
      <c r="AQ156" s="507">
        <f t="shared" si="6"/>
        <v>2</v>
      </c>
      <c r="AR156" s="507">
        <f t="shared" si="6"/>
        <v>3</v>
      </c>
      <c r="AS156" s="507">
        <f t="shared" si="6"/>
        <v>8</v>
      </c>
      <c r="AT156" s="507">
        <f t="shared" si="6"/>
        <v>4</v>
      </c>
      <c r="AU156" s="507">
        <f t="shared" si="6"/>
        <v>8</v>
      </c>
      <c r="AV156" s="507">
        <f t="shared" si="6"/>
        <v>4</v>
      </c>
      <c r="AW156" s="507">
        <f t="shared" si="6"/>
        <v>4</v>
      </c>
      <c r="AX156" s="507">
        <f t="shared" si="6"/>
        <v>5</v>
      </c>
      <c r="AY156" s="507">
        <f t="shared" si="6"/>
        <v>16</v>
      </c>
      <c r="AZ156" s="507">
        <f t="shared" si="6"/>
        <v>7</v>
      </c>
      <c r="BA156" s="507">
        <f t="shared" si="6"/>
        <v>14</v>
      </c>
      <c r="BB156" s="507">
        <f t="shared" si="6"/>
        <v>16</v>
      </c>
      <c r="BC156" s="507">
        <f t="shared" si="6"/>
        <v>13</v>
      </c>
      <c r="BD156" s="507">
        <f t="shared" si="6"/>
        <v>7</v>
      </c>
      <c r="BE156" s="507">
        <f t="shared" si="6"/>
        <v>5</v>
      </c>
      <c r="BF156" s="507">
        <f t="shared" si="6"/>
        <v>3</v>
      </c>
      <c r="BG156" s="507">
        <f t="shared" si="6"/>
        <v>8</v>
      </c>
      <c r="BH156" s="507">
        <f t="shared" si="6"/>
        <v>3</v>
      </c>
      <c r="BI156" s="507">
        <f t="shared" si="6"/>
        <v>3</v>
      </c>
      <c r="BJ156" s="507">
        <f t="shared" si="6"/>
        <v>3</v>
      </c>
      <c r="BK156" s="507">
        <f t="shared" si="6"/>
        <v>3</v>
      </c>
      <c r="BL156" s="507">
        <f t="shared" si="6"/>
        <v>2</v>
      </c>
      <c r="BM156" s="507">
        <f t="shared" si="6"/>
        <v>2</v>
      </c>
      <c r="BN156" s="507">
        <f t="shared" si="6"/>
        <v>5</v>
      </c>
      <c r="BO156" s="507">
        <f t="shared" ref="BO156:CT156" si="7">COUNT(BO159:BO175)</f>
        <v>2</v>
      </c>
      <c r="BP156" s="507">
        <f t="shared" si="7"/>
        <v>16</v>
      </c>
      <c r="BQ156" s="507">
        <f t="shared" si="7"/>
        <v>2</v>
      </c>
      <c r="BR156" s="507">
        <f t="shared" si="7"/>
        <v>3</v>
      </c>
      <c r="BS156" s="507">
        <f t="shared" si="7"/>
        <v>2</v>
      </c>
      <c r="BT156" s="507">
        <f t="shared" si="7"/>
        <v>7</v>
      </c>
      <c r="BU156" s="507">
        <f t="shared" si="7"/>
        <v>5</v>
      </c>
      <c r="BV156" s="507">
        <f t="shared" si="7"/>
        <v>3</v>
      </c>
      <c r="BW156" s="507">
        <f t="shared" si="7"/>
        <v>2</v>
      </c>
      <c r="BX156" s="507">
        <f t="shared" si="7"/>
        <v>2</v>
      </c>
      <c r="BY156" s="507">
        <f t="shared" si="7"/>
        <v>3</v>
      </c>
      <c r="BZ156" s="507">
        <f t="shared" si="7"/>
        <v>4</v>
      </c>
      <c r="CA156" s="507">
        <f t="shared" si="7"/>
        <v>2</v>
      </c>
      <c r="CB156" s="507">
        <f t="shared" si="7"/>
        <v>7</v>
      </c>
      <c r="CC156" s="507">
        <f t="shared" si="7"/>
        <v>5</v>
      </c>
      <c r="CD156" s="507">
        <f t="shared" si="7"/>
        <v>3</v>
      </c>
      <c r="CE156" s="507">
        <f t="shared" si="7"/>
        <v>2</v>
      </c>
      <c r="CF156" s="507">
        <f t="shared" si="7"/>
        <v>7</v>
      </c>
      <c r="CG156" s="507">
        <f t="shared" si="7"/>
        <v>3</v>
      </c>
      <c r="CH156" s="507">
        <f t="shared" si="7"/>
        <v>2</v>
      </c>
      <c r="CI156" s="507">
        <f t="shared" si="7"/>
        <v>4</v>
      </c>
      <c r="CJ156" s="507">
        <f t="shared" si="7"/>
        <v>2</v>
      </c>
      <c r="CK156" s="507">
        <f t="shared" si="7"/>
        <v>9</v>
      </c>
      <c r="CL156" s="507">
        <f t="shared" si="7"/>
        <v>5</v>
      </c>
      <c r="CM156" s="507">
        <f t="shared" si="7"/>
        <v>2</v>
      </c>
      <c r="CN156" s="507">
        <f t="shared" si="7"/>
        <v>2</v>
      </c>
      <c r="CO156" s="507">
        <f t="shared" si="7"/>
        <v>12</v>
      </c>
      <c r="CP156" s="507">
        <f t="shared" si="7"/>
        <v>5</v>
      </c>
      <c r="CQ156" s="507">
        <f t="shared" si="7"/>
        <v>2</v>
      </c>
      <c r="CR156" s="507">
        <f t="shared" si="7"/>
        <v>2</v>
      </c>
      <c r="CS156" s="507">
        <f t="shared" si="7"/>
        <v>2</v>
      </c>
      <c r="CT156" s="507">
        <f t="shared" si="7"/>
        <v>2</v>
      </c>
      <c r="CU156" s="507">
        <f t="shared" ref="CU156:DZ156" si="8">COUNT(CU159:CU175)</f>
        <v>2</v>
      </c>
      <c r="CV156" s="507">
        <f t="shared" si="8"/>
        <v>8</v>
      </c>
      <c r="CW156" s="507">
        <f t="shared" si="8"/>
        <v>12</v>
      </c>
      <c r="CX156" s="507">
        <f t="shared" si="8"/>
        <v>9</v>
      </c>
      <c r="CY156" s="507">
        <f t="shared" si="8"/>
        <v>3</v>
      </c>
      <c r="CZ156" s="507">
        <f t="shared" si="8"/>
        <v>3</v>
      </c>
      <c r="DA156" s="507">
        <f t="shared" si="8"/>
        <v>5</v>
      </c>
      <c r="DB156" s="507">
        <f t="shared" si="8"/>
        <v>12</v>
      </c>
      <c r="DC156" s="507">
        <f t="shared" si="8"/>
        <v>16</v>
      </c>
      <c r="DD156" s="507">
        <f t="shared" si="8"/>
        <v>3</v>
      </c>
      <c r="DE156" s="507">
        <f t="shared" si="8"/>
        <v>13</v>
      </c>
      <c r="DF156" s="507">
        <f t="shared" si="8"/>
        <v>3</v>
      </c>
      <c r="DG156" s="507">
        <f t="shared" si="8"/>
        <v>6</v>
      </c>
      <c r="DH156" s="507">
        <f t="shared" si="8"/>
        <v>7</v>
      </c>
      <c r="DI156" s="507">
        <f t="shared" si="8"/>
        <v>5</v>
      </c>
      <c r="DJ156" s="507">
        <f t="shared" si="8"/>
        <v>3</v>
      </c>
      <c r="DK156" s="507">
        <f t="shared" si="8"/>
        <v>16</v>
      </c>
      <c r="DL156" s="507">
        <f t="shared" si="8"/>
        <v>2</v>
      </c>
      <c r="DM156" s="507">
        <f t="shared" si="8"/>
        <v>2</v>
      </c>
      <c r="DN156" s="507">
        <f t="shared" si="8"/>
        <v>2</v>
      </c>
      <c r="DO156" s="507">
        <f t="shared" si="8"/>
        <v>3</v>
      </c>
      <c r="DP156" s="507">
        <f t="shared" si="8"/>
        <v>2</v>
      </c>
      <c r="DQ156" s="507">
        <f t="shared" si="8"/>
        <v>2</v>
      </c>
      <c r="DR156" s="507">
        <f t="shared" si="8"/>
        <v>2</v>
      </c>
      <c r="DS156" s="507">
        <f t="shared" si="8"/>
        <v>2</v>
      </c>
      <c r="DT156" s="507">
        <f t="shared" si="8"/>
        <v>6</v>
      </c>
      <c r="DU156" s="507">
        <f t="shared" si="8"/>
        <v>3</v>
      </c>
      <c r="DV156" s="507">
        <f t="shared" si="8"/>
        <v>2</v>
      </c>
      <c r="DW156" s="507">
        <f t="shared" si="8"/>
        <v>4</v>
      </c>
      <c r="DX156" s="507">
        <f t="shared" si="8"/>
        <v>2</v>
      </c>
      <c r="DY156" s="507">
        <f t="shared" si="8"/>
        <v>2</v>
      </c>
      <c r="DZ156" s="507">
        <f t="shared" si="8"/>
        <v>2</v>
      </c>
      <c r="EA156" s="507">
        <f t="shared" ref="EA156:EI156" si="9">COUNT(EA159:EA175)</f>
        <v>2</v>
      </c>
      <c r="EB156" s="507">
        <f t="shared" si="9"/>
        <v>2</v>
      </c>
      <c r="EC156" s="507">
        <f t="shared" si="9"/>
        <v>2</v>
      </c>
      <c r="ED156" s="507">
        <f t="shared" si="9"/>
        <v>2</v>
      </c>
      <c r="EE156" s="507">
        <f t="shared" si="9"/>
        <v>14</v>
      </c>
      <c r="EF156" s="507">
        <f t="shared" si="9"/>
        <v>6</v>
      </c>
      <c r="EG156" s="507">
        <f t="shared" si="9"/>
        <v>10</v>
      </c>
      <c r="EH156" s="507">
        <f t="shared" si="9"/>
        <v>8</v>
      </c>
      <c r="EI156" s="507">
        <f t="shared" si="9"/>
        <v>11</v>
      </c>
      <c r="EJ156" s="636">
        <f>SUM(D156:EI156)</f>
        <v>667</v>
      </c>
      <c r="EK156" s="67"/>
      <c r="EL156" s="67"/>
      <c r="EM156" s="67"/>
      <c r="EN156" s="67"/>
      <c r="EO156" s="67"/>
      <c r="EP156" s="67"/>
      <c r="EQ156" s="67"/>
      <c r="ER156" s="67"/>
      <c r="ES156" s="67"/>
      <c r="ET156" s="67"/>
      <c r="EU156" s="67"/>
      <c r="EV156" s="67"/>
      <c r="EW156" s="67"/>
      <c r="EX156" s="67"/>
      <c r="EY156" s="67"/>
      <c r="EZ156" s="67"/>
    </row>
    <row r="157" spans="1:156">
      <c r="B157" s="526"/>
      <c r="C157" s="525"/>
      <c r="D157" s="525"/>
      <c r="E157" s="525"/>
      <c r="F157" s="525"/>
      <c r="G157" s="525"/>
      <c r="H157" s="525"/>
      <c r="I157" s="525"/>
      <c r="J157" s="525"/>
      <c r="K157" s="525"/>
      <c r="L157" s="525"/>
      <c r="M157" s="525"/>
      <c r="N157" s="525"/>
      <c r="O157" s="525"/>
      <c r="P157" s="525"/>
      <c r="Q157" s="525"/>
      <c r="R157" s="525"/>
      <c r="S157" s="525"/>
      <c r="T157" s="525"/>
      <c r="U157" s="525"/>
      <c r="V157" s="525"/>
      <c r="W157" s="525"/>
      <c r="X157" s="525"/>
      <c r="Y157" s="525"/>
      <c r="Z157" s="525"/>
      <c r="AA157" s="525"/>
      <c r="AB157" s="525"/>
      <c r="AC157" s="525"/>
      <c r="AD157" s="525"/>
      <c r="AE157" s="525"/>
      <c r="AF157" s="525"/>
      <c r="AG157" s="525"/>
      <c r="AH157" s="525"/>
      <c r="AI157" s="525"/>
      <c r="AJ157" s="525"/>
      <c r="AK157" s="525"/>
      <c r="AL157" s="525"/>
      <c r="AM157" s="525"/>
      <c r="AN157" s="525"/>
      <c r="AO157" s="525"/>
      <c r="AP157" s="525"/>
      <c r="AQ157" s="525"/>
      <c r="AR157" s="525"/>
      <c r="AS157" s="525"/>
      <c r="AT157" s="525"/>
      <c r="AU157" s="525"/>
      <c r="AV157" s="525"/>
      <c r="AW157" s="525"/>
      <c r="AX157" s="525"/>
      <c r="AY157" s="525"/>
      <c r="AZ157" s="525"/>
      <c r="BA157" s="525"/>
      <c r="BB157" s="525"/>
      <c r="BC157" s="525"/>
      <c r="BD157" s="525"/>
      <c r="BE157" s="525"/>
      <c r="BF157" s="525"/>
      <c r="BG157" s="525"/>
      <c r="BH157" s="525"/>
      <c r="BI157" s="525"/>
      <c r="BJ157" s="525"/>
      <c r="BK157" s="525"/>
      <c r="BL157" s="525"/>
      <c r="BM157" s="525"/>
      <c r="BN157" s="525"/>
      <c r="BO157" s="525"/>
      <c r="BP157" s="525"/>
      <c r="BQ157" s="525"/>
      <c r="BR157" s="525"/>
      <c r="BS157" s="525"/>
      <c r="BT157" s="525"/>
      <c r="BU157" s="525"/>
      <c r="BV157" s="525"/>
      <c r="BW157" s="525"/>
      <c r="BX157" s="525"/>
      <c r="BY157" s="525"/>
      <c r="BZ157" s="525"/>
      <c r="CA157" s="525"/>
      <c r="CB157" s="525"/>
      <c r="CC157" s="525"/>
      <c r="CD157" s="525"/>
      <c r="CE157" s="525"/>
      <c r="CF157" s="525"/>
      <c r="CG157" s="525"/>
      <c r="CH157" s="525"/>
      <c r="CI157" s="525"/>
      <c r="CJ157" s="525"/>
      <c r="CK157" s="525"/>
      <c r="CL157" s="525"/>
      <c r="CM157" s="525"/>
      <c r="CN157" s="525"/>
      <c r="CO157" s="525"/>
      <c r="CP157" s="525"/>
      <c r="CQ157" s="525"/>
      <c r="CR157" s="525"/>
      <c r="CS157" s="525"/>
      <c r="CT157" s="525"/>
      <c r="CU157" s="525"/>
      <c r="CV157" s="525"/>
      <c r="CW157" s="525"/>
      <c r="CX157" s="525"/>
      <c r="CY157" s="525"/>
      <c r="CZ157" s="525"/>
      <c r="DA157" s="525"/>
      <c r="DB157" s="525"/>
      <c r="DC157" s="525"/>
      <c r="DD157" s="525"/>
      <c r="DE157" s="525"/>
      <c r="DF157" s="525"/>
      <c r="DG157" s="525"/>
      <c r="DH157" s="525"/>
      <c r="DI157" s="525"/>
      <c r="DJ157" s="525"/>
      <c r="DK157" s="525"/>
      <c r="DL157" s="525"/>
      <c r="DM157" s="525"/>
      <c r="DN157" s="525"/>
      <c r="DO157" s="525"/>
      <c r="DP157" s="525"/>
      <c r="DQ157" s="525"/>
      <c r="DR157" s="525"/>
      <c r="DS157" s="525"/>
      <c r="DT157" s="525"/>
      <c r="DU157" s="525"/>
      <c r="DV157" s="525"/>
      <c r="DW157" s="525"/>
      <c r="DX157" s="525"/>
      <c r="DY157" s="525"/>
      <c r="DZ157" s="525"/>
      <c r="EA157" s="525"/>
      <c r="EB157" s="525"/>
      <c r="EC157" s="525"/>
      <c r="ED157" s="525"/>
      <c r="EE157" s="525"/>
      <c r="EF157" s="525"/>
      <c r="EG157" s="525"/>
      <c r="EH157" s="525"/>
      <c r="EI157" s="525"/>
      <c r="EK157" s="67"/>
      <c r="EL157" s="67"/>
      <c r="EM157" s="67"/>
      <c r="EN157" s="67"/>
      <c r="EO157" s="67"/>
      <c r="EP157" s="67"/>
      <c r="EQ157" s="67"/>
      <c r="ER157" s="67"/>
      <c r="ES157" s="67"/>
      <c r="ET157" s="67"/>
      <c r="EU157" s="67"/>
      <c r="EV157" s="67"/>
      <c r="EW157" s="67"/>
      <c r="EX157" s="67"/>
      <c r="EY157" s="67"/>
      <c r="EZ157" s="67"/>
    </row>
    <row r="158" spans="1:156">
      <c r="A158" s="99"/>
      <c r="B158" s="524" t="s">
        <v>778</v>
      </c>
      <c r="C158" s="515"/>
      <c r="D158" s="515"/>
      <c r="E158" s="515"/>
      <c r="F158" s="514"/>
      <c r="G158" s="523"/>
      <c r="H158" s="515"/>
      <c r="I158" s="514"/>
      <c r="J158" s="515"/>
      <c r="K158" s="515"/>
      <c r="L158" s="515"/>
      <c r="M158" s="514"/>
      <c r="N158" s="514"/>
      <c r="O158" s="514"/>
      <c r="P158" s="514"/>
      <c r="Q158" s="522"/>
      <c r="R158" s="514"/>
      <c r="S158" s="514"/>
      <c r="T158" s="514"/>
      <c r="U158" s="514"/>
      <c r="V158" s="515"/>
      <c r="W158" s="514"/>
      <c r="X158" s="514"/>
      <c r="Y158" s="514"/>
      <c r="Z158" s="514"/>
      <c r="AA158" s="514"/>
      <c r="AB158" s="521"/>
      <c r="AC158" s="515"/>
      <c r="AD158" s="515"/>
      <c r="AE158" s="515"/>
      <c r="AF158" s="515"/>
      <c r="AG158" s="515"/>
      <c r="AH158" s="515"/>
      <c r="AI158" s="514"/>
      <c r="AJ158" s="519"/>
      <c r="AK158" s="519"/>
      <c r="AL158" s="519"/>
      <c r="AM158" s="519"/>
      <c r="AN158" s="515"/>
      <c r="AO158" s="519"/>
      <c r="AP158" s="519"/>
      <c r="AQ158" s="519"/>
      <c r="AR158" s="519"/>
      <c r="AS158" s="519"/>
      <c r="AT158" s="519"/>
      <c r="AU158" s="519"/>
      <c r="AV158" s="519"/>
      <c r="AW158" s="519"/>
      <c r="AX158" s="515"/>
      <c r="AY158" s="519"/>
      <c r="AZ158" s="519"/>
      <c r="BA158" s="519"/>
      <c r="BB158" s="518"/>
      <c r="BC158" s="518"/>
      <c r="BD158" s="518"/>
      <c r="BE158" s="518"/>
      <c r="BF158" s="518"/>
      <c r="BG158" s="518"/>
      <c r="BH158" s="518"/>
      <c r="BI158" s="518"/>
      <c r="BJ158" s="518"/>
      <c r="BK158" s="518"/>
      <c r="BL158" s="518"/>
      <c r="BM158" s="518"/>
      <c r="BN158" s="518"/>
      <c r="BO158" s="518"/>
      <c r="BP158" s="518"/>
      <c r="BQ158" s="518"/>
      <c r="BR158" s="518"/>
      <c r="BS158" s="518"/>
      <c r="BT158" s="518"/>
      <c r="BU158" s="518"/>
      <c r="BV158" s="518"/>
      <c r="BW158" s="518"/>
      <c r="BX158" s="518"/>
      <c r="BY158" s="518"/>
      <c r="BZ158" s="518"/>
      <c r="CA158" s="518"/>
      <c r="CB158" s="518"/>
      <c r="CC158" s="518"/>
      <c r="CD158" s="518"/>
      <c r="CE158" s="518"/>
      <c r="CF158" s="518"/>
      <c r="CG158" s="518"/>
      <c r="CH158" s="518"/>
      <c r="CI158" s="518"/>
      <c r="CJ158" s="518"/>
      <c r="CK158" s="518"/>
      <c r="CL158" s="518"/>
      <c r="CM158" s="520"/>
      <c r="CN158" s="520"/>
      <c r="CO158" s="515"/>
      <c r="CP158" s="519"/>
      <c r="CQ158" s="518"/>
      <c r="CR158" s="518"/>
      <c r="CS158" s="515"/>
      <c r="CT158" s="515"/>
      <c r="CU158" s="517"/>
      <c r="CV158" s="517"/>
      <c r="CW158" s="517"/>
      <c r="CX158" s="515"/>
      <c r="CY158" s="515"/>
      <c r="CZ158" s="515"/>
      <c r="DA158" s="515"/>
      <c r="DB158" s="515"/>
      <c r="DC158" s="515"/>
      <c r="DD158" s="515"/>
      <c r="DE158" s="515"/>
      <c r="DF158" s="515"/>
      <c r="DG158" s="515"/>
      <c r="DH158" s="515"/>
      <c r="DI158" s="515"/>
      <c r="DJ158" s="515"/>
      <c r="DK158" s="515"/>
      <c r="DL158" s="515"/>
      <c r="DM158" s="516"/>
      <c r="DN158" s="516"/>
      <c r="DO158" s="516"/>
      <c r="DP158" s="516"/>
      <c r="DQ158" s="516"/>
      <c r="DR158" s="516"/>
      <c r="DS158" s="516"/>
      <c r="DT158" s="516"/>
      <c r="DU158" s="516"/>
      <c r="DV158" s="515"/>
      <c r="DW158" s="515"/>
      <c r="DX158" s="515"/>
      <c r="DY158" s="515"/>
      <c r="DZ158" s="515"/>
      <c r="EA158" s="515"/>
      <c r="EB158" s="515"/>
      <c r="EC158" s="514"/>
      <c r="ED158" s="515"/>
      <c r="EE158" s="515"/>
      <c r="EF158" s="515"/>
      <c r="EG158" s="515"/>
      <c r="EH158" s="515"/>
      <c r="EI158" s="514"/>
      <c r="EJ158" s="99"/>
      <c r="EK158" s="67"/>
      <c r="EL158" s="67"/>
      <c r="EM158" s="67"/>
      <c r="EN158" s="67"/>
      <c r="EO158" s="67"/>
      <c r="EP158" s="67"/>
      <c r="EQ158" s="67"/>
      <c r="ER158" s="67"/>
      <c r="ES158" s="67"/>
      <c r="ET158" s="67"/>
      <c r="EU158" s="67"/>
      <c r="EV158" s="67"/>
      <c r="EW158" s="67"/>
      <c r="EX158" s="67"/>
      <c r="EY158" s="67"/>
      <c r="EZ158" s="67"/>
    </row>
    <row r="159" spans="1:156">
      <c r="B159" s="605" t="s">
        <v>98</v>
      </c>
      <c r="C159" s="622"/>
      <c r="D159" s="622">
        <v>1</v>
      </c>
      <c r="E159" s="622">
        <v>1</v>
      </c>
      <c r="F159" s="622">
        <v>1</v>
      </c>
      <c r="G159" s="622"/>
      <c r="H159" s="622">
        <v>1</v>
      </c>
      <c r="I159" s="622">
        <v>1</v>
      </c>
      <c r="J159" s="622">
        <v>1</v>
      </c>
      <c r="K159" s="622"/>
      <c r="L159" s="622"/>
      <c r="M159" s="622">
        <v>1</v>
      </c>
      <c r="N159" s="622"/>
      <c r="O159" s="622"/>
      <c r="P159" s="622"/>
      <c r="Q159" s="622"/>
      <c r="R159" s="622">
        <v>1</v>
      </c>
      <c r="S159" s="622"/>
      <c r="T159" s="622"/>
      <c r="U159" s="622"/>
      <c r="V159" s="622"/>
      <c r="W159" s="622">
        <v>1</v>
      </c>
      <c r="X159" s="622">
        <v>1</v>
      </c>
      <c r="Y159" s="622">
        <v>1</v>
      </c>
      <c r="Z159" s="622"/>
      <c r="AA159" s="622"/>
      <c r="AB159" s="622"/>
      <c r="AC159" s="622"/>
      <c r="AD159" s="622"/>
      <c r="AE159" s="622"/>
      <c r="AF159" s="622"/>
      <c r="AG159" s="622"/>
      <c r="AH159" s="622">
        <v>1</v>
      </c>
      <c r="AI159" s="622"/>
      <c r="AJ159" s="622">
        <v>1</v>
      </c>
      <c r="AK159" s="622"/>
      <c r="AL159" s="622"/>
      <c r="AM159" s="622"/>
      <c r="AN159" s="622">
        <v>1</v>
      </c>
      <c r="AO159" s="622"/>
      <c r="AP159" s="622"/>
      <c r="AQ159" s="622"/>
      <c r="AR159" s="622"/>
      <c r="AS159" s="622"/>
      <c r="AT159" s="622"/>
      <c r="AU159" s="622"/>
      <c r="AV159" s="622"/>
      <c r="AW159" s="622">
        <v>1</v>
      </c>
      <c r="AX159" s="622"/>
      <c r="AY159" s="622">
        <v>1</v>
      </c>
      <c r="AZ159" s="622">
        <v>1</v>
      </c>
      <c r="BA159" s="622">
        <v>1</v>
      </c>
      <c r="BB159" s="622">
        <v>1</v>
      </c>
      <c r="BC159" s="622"/>
      <c r="BD159" s="622"/>
      <c r="BE159" s="622"/>
      <c r="BF159" s="622"/>
      <c r="BG159" s="622"/>
      <c r="BH159" s="622"/>
      <c r="BI159" s="622"/>
      <c r="BJ159" s="622"/>
      <c r="BK159" s="622">
        <v>1</v>
      </c>
      <c r="BL159" s="622"/>
      <c r="BM159" s="622"/>
      <c r="BN159" s="622"/>
      <c r="BO159" s="622"/>
      <c r="BP159" s="622">
        <v>1</v>
      </c>
      <c r="BQ159" s="622"/>
      <c r="BR159" s="622"/>
      <c r="BS159" s="622"/>
      <c r="BT159" s="622">
        <v>1</v>
      </c>
      <c r="BU159" s="622"/>
      <c r="BV159" s="622"/>
      <c r="BW159" s="622"/>
      <c r="BX159" s="622"/>
      <c r="BY159" s="622">
        <v>1</v>
      </c>
      <c r="BZ159" s="622"/>
      <c r="CA159" s="622"/>
      <c r="CB159" s="622">
        <v>1</v>
      </c>
      <c r="CC159" s="622"/>
      <c r="CD159" s="622"/>
      <c r="CE159" s="622"/>
      <c r="CF159" s="622"/>
      <c r="CG159" s="622"/>
      <c r="CH159" s="622"/>
      <c r="CI159" s="623"/>
      <c r="CJ159" s="622">
        <v>1</v>
      </c>
      <c r="CK159" s="622">
        <v>1</v>
      </c>
      <c r="CL159" s="622"/>
      <c r="CM159" s="622"/>
      <c r="CN159" s="622"/>
      <c r="CO159" s="622"/>
      <c r="CP159" s="622">
        <v>1</v>
      </c>
      <c r="CQ159" s="622"/>
      <c r="CR159" s="622"/>
      <c r="CS159" s="622"/>
      <c r="CT159" s="622">
        <v>1</v>
      </c>
      <c r="CU159" s="622"/>
      <c r="CV159" s="622">
        <v>1</v>
      </c>
      <c r="CW159" s="622"/>
      <c r="CX159" s="622">
        <v>1</v>
      </c>
      <c r="CY159" s="622">
        <v>1</v>
      </c>
      <c r="CZ159" s="622">
        <v>1</v>
      </c>
      <c r="DA159" s="622">
        <v>1</v>
      </c>
      <c r="DB159" s="622"/>
      <c r="DC159" s="622">
        <v>1</v>
      </c>
      <c r="DD159" s="622">
        <v>1</v>
      </c>
      <c r="DE159" s="622">
        <v>1</v>
      </c>
      <c r="DF159" s="622"/>
      <c r="DG159" s="622"/>
      <c r="DH159" s="622">
        <v>1</v>
      </c>
      <c r="DI159" s="622"/>
      <c r="DJ159" s="622"/>
      <c r="DK159" s="622">
        <v>1</v>
      </c>
      <c r="DL159" s="622"/>
      <c r="DM159" s="624"/>
      <c r="DN159" s="622"/>
      <c r="DO159" s="622"/>
      <c r="DP159" s="622"/>
      <c r="DQ159" s="622"/>
      <c r="DR159" s="622">
        <v>1</v>
      </c>
      <c r="DS159" s="622">
        <v>1</v>
      </c>
      <c r="DT159" s="622"/>
      <c r="DU159" s="622"/>
      <c r="DV159" s="622"/>
      <c r="DW159" s="622"/>
      <c r="DX159" s="622">
        <v>1</v>
      </c>
      <c r="DY159" s="622"/>
      <c r="DZ159" s="622"/>
      <c r="EA159" s="622"/>
      <c r="EB159" s="622"/>
      <c r="EC159" s="622"/>
      <c r="ED159" s="621"/>
      <c r="EE159" s="507">
        <v>1</v>
      </c>
      <c r="EF159" s="507"/>
      <c r="EG159" s="507"/>
      <c r="EH159" s="507"/>
      <c r="EI159" s="504"/>
      <c r="EJ159" s="636">
        <f t="shared" ref="EJ159:EJ175" si="10">SUM(D159:EI159)</f>
        <v>42</v>
      </c>
      <c r="EK159" s="67"/>
      <c r="EL159" s="67"/>
      <c r="EM159" s="67"/>
      <c r="EN159" s="67"/>
      <c r="EO159" s="67"/>
      <c r="EP159" s="67"/>
      <c r="EQ159" s="67"/>
      <c r="ER159" s="67"/>
      <c r="ES159" s="67"/>
      <c r="ET159" s="67"/>
      <c r="EU159" s="67"/>
      <c r="EV159" s="67"/>
      <c r="EW159" s="67"/>
      <c r="EX159" s="67"/>
      <c r="EY159" s="67"/>
      <c r="EZ159" s="67"/>
    </row>
    <row r="160" spans="1:156">
      <c r="B160" s="605" t="s">
        <v>92</v>
      </c>
      <c r="C160" s="622">
        <v>1</v>
      </c>
      <c r="D160" s="622"/>
      <c r="E160" s="622"/>
      <c r="F160" s="622">
        <v>1</v>
      </c>
      <c r="G160" s="622"/>
      <c r="H160" s="622">
        <v>1</v>
      </c>
      <c r="I160" s="622">
        <v>1</v>
      </c>
      <c r="J160" s="622">
        <v>1</v>
      </c>
      <c r="K160" s="622"/>
      <c r="L160" s="622"/>
      <c r="M160" s="622"/>
      <c r="N160" s="622"/>
      <c r="O160" s="622"/>
      <c r="P160" s="622"/>
      <c r="Q160" s="622"/>
      <c r="R160" s="622">
        <v>1</v>
      </c>
      <c r="S160" s="622"/>
      <c r="T160" s="622"/>
      <c r="U160" s="622"/>
      <c r="V160" s="622"/>
      <c r="W160" s="622">
        <v>1</v>
      </c>
      <c r="X160" s="622">
        <v>1</v>
      </c>
      <c r="Y160" s="622">
        <v>1</v>
      </c>
      <c r="Z160" s="622"/>
      <c r="AA160" s="622"/>
      <c r="AB160" s="622"/>
      <c r="AC160" s="622">
        <v>1</v>
      </c>
      <c r="AD160" s="622"/>
      <c r="AE160" s="622"/>
      <c r="AF160" s="622"/>
      <c r="AG160" s="622"/>
      <c r="AH160" s="622">
        <v>1</v>
      </c>
      <c r="AI160" s="622"/>
      <c r="AJ160" s="622">
        <v>1</v>
      </c>
      <c r="AK160" s="622"/>
      <c r="AL160" s="622"/>
      <c r="AM160" s="622"/>
      <c r="AN160" s="622">
        <v>1</v>
      </c>
      <c r="AO160" s="622"/>
      <c r="AP160" s="622"/>
      <c r="AQ160" s="622"/>
      <c r="AR160" s="622"/>
      <c r="AS160" s="622"/>
      <c r="AT160" s="622"/>
      <c r="AU160" s="622"/>
      <c r="AV160" s="622"/>
      <c r="AW160" s="622"/>
      <c r="AX160" s="622"/>
      <c r="AY160" s="622">
        <v>1</v>
      </c>
      <c r="AZ160" s="622">
        <v>1</v>
      </c>
      <c r="BA160" s="622">
        <v>1</v>
      </c>
      <c r="BB160" s="622">
        <v>1</v>
      </c>
      <c r="BC160" s="622"/>
      <c r="BD160" s="622"/>
      <c r="BE160" s="622">
        <v>1</v>
      </c>
      <c r="BF160" s="622"/>
      <c r="BG160" s="622">
        <v>1</v>
      </c>
      <c r="BH160" s="622"/>
      <c r="BI160" s="622"/>
      <c r="BJ160" s="622"/>
      <c r="BK160" s="622">
        <v>1</v>
      </c>
      <c r="BL160" s="622"/>
      <c r="BM160" s="622">
        <v>1</v>
      </c>
      <c r="BN160" s="622"/>
      <c r="BO160" s="622"/>
      <c r="BP160" s="622">
        <v>1</v>
      </c>
      <c r="BQ160" s="622"/>
      <c r="BR160" s="622"/>
      <c r="BS160" s="622"/>
      <c r="BT160" s="622">
        <v>1</v>
      </c>
      <c r="BU160" s="622"/>
      <c r="BV160" s="622"/>
      <c r="BW160" s="622"/>
      <c r="BX160" s="622"/>
      <c r="BY160" s="622">
        <v>1</v>
      </c>
      <c r="BZ160" s="622"/>
      <c r="CA160" s="622">
        <v>1</v>
      </c>
      <c r="CB160" s="622">
        <v>1</v>
      </c>
      <c r="CC160" s="622"/>
      <c r="CD160" s="622"/>
      <c r="CE160" s="622"/>
      <c r="CF160" s="622"/>
      <c r="CG160" s="622"/>
      <c r="CH160" s="622"/>
      <c r="CI160" s="623"/>
      <c r="CJ160" s="622">
        <v>1</v>
      </c>
      <c r="CK160" s="622"/>
      <c r="CL160" s="622">
        <v>1</v>
      </c>
      <c r="CM160" s="622"/>
      <c r="CN160" s="622"/>
      <c r="CO160" s="622"/>
      <c r="CP160" s="622">
        <v>1</v>
      </c>
      <c r="CQ160" s="622"/>
      <c r="CR160" s="622"/>
      <c r="CS160" s="622"/>
      <c r="CT160" s="622"/>
      <c r="CU160" s="622"/>
      <c r="CV160" s="622"/>
      <c r="CW160" s="622"/>
      <c r="CX160" s="622">
        <v>1</v>
      </c>
      <c r="CY160" s="622">
        <v>1</v>
      </c>
      <c r="CZ160" s="622">
        <v>1</v>
      </c>
      <c r="DA160" s="622">
        <v>1</v>
      </c>
      <c r="DB160" s="622"/>
      <c r="DC160" s="622">
        <v>1</v>
      </c>
      <c r="DD160" s="622"/>
      <c r="DE160" s="622">
        <v>1</v>
      </c>
      <c r="DF160" s="622"/>
      <c r="DG160" s="622"/>
      <c r="DH160" s="622">
        <v>1</v>
      </c>
      <c r="DI160" s="622"/>
      <c r="DJ160" s="622"/>
      <c r="DK160" s="622">
        <v>1</v>
      </c>
      <c r="DL160" s="622"/>
      <c r="DM160" s="624"/>
      <c r="DN160" s="622"/>
      <c r="DO160" s="622"/>
      <c r="DP160" s="622"/>
      <c r="DQ160" s="622"/>
      <c r="DR160" s="622"/>
      <c r="DS160" s="622"/>
      <c r="DT160" s="622"/>
      <c r="DU160" s="622"/>
      <c r="DV160" s="622"/>
      <c r="DW160" s="622"/>
      <c r="DX160" s="622"/>
      <c r="DY160" s="622"/>
      <c r="DZ160" s="622"/>
      <c r="EA160" s="622">
        <v>1</v>
      </c>
      <c r="EB160" s="622"/>
      <c r="EC160" s="622"/>
      <c r="ED160" s="621"/>
      <c r="EE160" s="507"/>
      <c r="EF160" s="507"/>
      <c r="EG160" s="507"/>
      <c r="EH160" s="507"/>
      <c r="EI160" s="504"/>
      <c r="EJ160" s="636">
        <f t="shared" si="10"/>
        <v>37</v>
      </c>
      <c r="EK160" s="67"/>
      <c r="EL160" s="67"/>
      <c r="EM160" s="67"/>
      <c r="EN160" s="67"/>
      <c r="EO160" s="67"/>
      <c r="EP160" s="67"/>
      <c r="EQ160" s="67"/>
      <c r="ER160" s="67"/>
      <c r="ES160" s="67"/>
      <c r="ET160" s="67"/>
      <c r="EU160" s="67"/>
      <c r="EV160" s="67"/>
      <c r="EW160" s="67"/>
      <c r="EX160" s="67"/>
      <c r="EY160" s="67"/>
      <c r="EZ160" s="67"/>
    </row>
    <row r="161" spans="2:156">
      <c r="B161" s="605" t="s">
        <v>97</v>
      </c>
      <c r="C161" s="622">
        <v>1</v>
      </c>
      <c r="D161" s="622"/>
      <c r="E161" s="622"/>
      <c r="F161" s="622"/>
      <c r="G161" s="622"/>
      <c r="H161" s="622">
        <v>1</v>
      </c>
      <c r="I161" s="622"/>
      <c r="J161" s="622"/>
      <c r="K161" s="622">
        <v>1</v>
      </c>
      <c r="L161" s="622">
        <v>1</v>
      </c>
      <c r="M161" s="622"/>
      <c r="N161" s="622"/>
      <c r="O161" s="622"/>
      <c r="P161" s="622"/>
      <c r="Q161" s="622">
        <v>1</v>
      </c>
      <c r="R161" s="622"/>
      <c r="S161" s="622"/>
      <c r="T161" s="622"/>
      <c r="U161" s="622"/>
      <c r="V161" s="622">
        <v>1</v>
      </c>
      <c r="W161" s="622"/>
      <c r="X161" s="622">
        <v>1</v>
      </c>
      <c r="Y161" s="622"/>
      <c r="Z161" s="622"/>
      <c r="AA161" s="622"/>
      <c r="AB161" s="622"/>
      <c r="AC161" s="622">
        <v>1</v>
      </c>
      <c r="AD161" s="622"/>
      <c r="AE161" s="622">
        <v>1</v>
      </c>
      <c r="AF161" s="622">
        <v>1</v>
      </c>
      <c r="AG161" s="622"/>
      <c r="AH161" s="622">
        <v>1</v>
      </c>
      <c r="AI161" s="622"/>
      <c r="AJ161" s="622">
        <v>1</v>
      </c>
      <c r="AK161" s="622"/>
      <c r="AL161" s="622"/>
      <c r="AM161" s="622"/>
      <c r="AN161" s="622">
        <v>1</v>
      </c>
      <c r="AO161" s="622"/>
      <c r="AP161" s="622">
        <v>1</v>
      </c>
      <c r="AQ161" s="622">
        <v>1</v>
      </c>
      <c r="AR161" s="622"/>
      <c r="AS161" s="622"/>
      <c r="AT161" s="622"/>
      <c r="AU161" s="622">
        <v>1</v>
      </c>
      <c r="AV161" s="622"/>
      <c r="AW161" s="622"/>
      <c r="AX161" s="622"/>
      <c r="AY161" s="622">
        <v>1</v>
      </c>
      <c r="AZ161" s="622">
        <v>1</v>
      </c>
      <c r="BA161" s="622">
        <v>1</v>
      </c>
      <c r="BB161" s="622">
        <v>1</v>
      </c>
      <c r="BC161" s="622"/>
      <c r="BD161" s="622"/>
      <c r="BE161" s="622"/>
      <c r="BF161" s="622"/>
      <c r="BG161" s="622"/>
      <c r="BH161" s="622">
        <v>1</v>
      </c>
      <c r="BI161" s="622">
        <v>1</v>
      </c>
      <c r="BJ161" s="622">
        <v>1</v>
      </c>
      <c r="BK161" s="622"/>
      <c r="BL161" s="622"/>
      <c r="BM161" s="622">
        <v>1</v>
      </c>
      <c r="BN161" s="622"/>
      <c r="BO161" s="622"/>
      <c r="BP161" s="622">
        <v>1</v>
      </c>
      <c r="BQ161" s="622"/>
      <c r="BR161" s="622"/>
      <c r="BS161" s="622"/>
      <c r="BT161" s="622">
        <v>1</v>
      </c>
      <c r="BU161" s="622"/>
      <c r="BV161" s="622"/>
      <c r="BW161" s="622"/>
      <c r="BX161" s="622"/>
      <c r="BY161" s="622"/>
      <c r="BZ161" s="622">
        <v>1</v>
      </c>
      <c r="CA161" s="622">
        <v>1</v>
      </c>
      <c r="CB161" s="622">
        <v>1</v>
      </c>
      <c r="CC161" s="622"/>
      <c r="CD161" s="622"/>
      <c r="CE161" s="622"/>
      <c r="CF161" s="622"/>
      <c r="CG161" s="622"/>
      <c r="CH161" s="622">
        <v>1</v>
      </c>
      <c r="CI161" s="623"/>
      <c r="CJ161" s="622"/>
      <c r="CK161" s="622">
        <v>1</v>
      </c>
      <c r="CL161" s="622">
        <v>1</v>
      </c>
      <c r="CM161" s="622"/>
      <c r="CN161" s="622"/>
      <c r="CO161" s="622">
        <v>1</v>
      </c>
      <c r="CP161" s="622"/>
      <c r="CQ161" s="622"/>
      <c r="CR161" s="622">
        <v>1</v>
      </c>
      <c r="CS161" s="622">
        <v>1</v>
      </c>
      <c r="CT161" s="622"/>
      <c r="CU161" s="622"/>
      <c r="CV161" s="622">
        <v>1</v>
      </c>
      <c r="CW161" s="622"/>
      <c r="CX161" s="622">
        <v>1</v>
      </c>
      <c r="CY161" s="622"/>
      <c r="CZ161" s="622">
        <v>1</v>
      </c>
      <c r="DA161" s="622">
        <v>1</v>
      </c>
      <c r="DB161" s="622">
        <v>1</v>
      </c>
      <c r="DC161" s="622">
        <v>1</v>
      </c>
      <c r="DD161" s="622">
        <v>1</v>
      </c>
      <c r="DE161" s="622">
        <v>1</v>
      </c>
      <c r="DF161" s="622"/>
      <c r="DG161" s="622"/>
      <c r="DH161" s="622">
        <v>1</v>
      </c>
      <c r="DI161" s="622"/>
      <c r="DJ161" s="622"/>
      <c r="DK161" s="622">
        <v>1</v>
      </c>
      <c r="DL161" s="622"/>
      <c r="DM161" s="624"/>
      <c r="DN161" s="622"/>
      <c r="DO161" s="622">
        <v>1</v>
      </c>
      <c r="DP161" s="622"/>
      <c r="DQ161" s="622"/>
      <c r="DR161" s="622">
        <v>1</v>
      </c>
      <c r="DS161" s="622"/>
      <c r="DT161" s="622"/>
      <c r="DU161" s="622"/>
      <c r="DV161" s="622"/>
      <c r="DW161" s="622"/>
      <c r="DX161" s="622">
        <v>1</v>
      </c>
      <c r="DY161" s="622"/>
      <c r="DZ161" s="622"/>
      <c r="EA161" s="622"/>
      <c r="EB161" s="622">
        <v>1</v>
      </c>
      <c r="EC161" s="622">
        <v>1</v>
      </c>
      <c r="ED161" s="621"/>
      <c r="EE161" s="507">
        <v>1</v>
      </c>
      <c r="EF161" s="507"/>
      <c r="EG161" s="507"/>
      <c r="EH161" s="507"/>
      <c r="EI161" s="504"/>
      <c r="EJ161" s="636">
        <f t="shared" si="10"/>
        <v>50</v>
      </c>
      <c r="EK161" s="67"/>
      <c r="EL161" s="67"/>
      <c r="EM161" s="67"/>
      <c r="EN161" s="67"/>
      <c r="EO161" s="67"/>
      <c r="EP161" s="67"/>
      <c r="EQ161" s="67"/>
      <c r="ER161" s="67"/>
      <c r="ES161" s="67"/>
      <c r="ET161" s="67"/>
      <c r="EU161" s="67"/>
      <c r="EV161" s="67"/>
      <c r="EW161" s="67"/>
      <c r="EX161" s="67"/>
      <c r="EY161" s="67"/>
      <c r="EZ161" s="67"/>
    </row>
    <row r="162" spans="2:156">
      <c r="B162" s="605" t="s">
        <v>112</v>
      </c>
      <c r="C162" s="622"/>
      <c r="D162" s="622"/>
      <c r="E162" s="622"/>
      <c r="F162" s="622"/>
      <c r="G162" s="622"/>
      <c r="H162" s="622">
        <v>1</v>
      </c>
      <c r="I162" s="622"/>
      <c r="J162" s="622"/>
      <c r="K162" s="622"/>
      <c r="L162" s="622"/>
      <c r="M162" s="622"/>
      <c r="N162" s="622"/>
      <c r="O162" s="622">
        <v>1</v>
      </c>
      <c r="P162" s="622"/>
      <c r="Q162" s="622">
        <v>1</v>
      </c>
      <c r="R162" s="622"/>
      <c r="S162" s="622"/>
      <c r="T162" s="622"/>
      <c r="U162" s="622"/>
      <c r="V162" s="622">
        <v>1</v>
      </c>
      <c r="W162" s="622"/>
      <c r="X162" s="622">
        <v>1</v>
      </c>
      <c r="Y162" s="622"/>
      <c r="Z162" s="622"/>
      <c r="AA162" s="622"/>
      <c r="AB162" s="622">
        <v>1</v>
      </c>
      <c r="AC162" s="622"/>
      <c r="AD162" s="622"/>
      <c r="AE162" s="622">
        <v>1</v>
      </c>
      <c r="AF162" s="622">
        <v>1</v>
      </c>
      <c r="AG162" s="622"/>
      <c r="AH162" s="622">
        <v>1</v>
      </c>
      <c r="AI162" s="622"/>
      <c r="AJ162" s="622">
        <v>1</v>
      </c>
      <c r="AK162" s="622"/>
      <c r="AL162" s="622"/>
      <c r="AM162" s="622"/>
      <c r="AN162" s="622">
        <v>1</v>
      </c>
      <c r="AO162" s="622"/>
      <c r="AP162" s="622"/>
      <c r="AQ162" s="622"/>
      <c r="AR162" s="622"/>
      <c r="AS162" s="622">
        <v>1</v>
      </c>
      <c r="AT162" s="622">
        <v>1</v>
      </c>
      <c r="AU162" s="622"/>
      <c r="AV162" s="622"/>
      <c r="AW162" s="622"/>
      <c r="AX162" s="622"/>
      <c r="AY162" s="622">
        <v>1</v>
      </c>
      <c r="AZ162" s="622"/>
      <c r="BA162" s="622">
        <v>1</v>
      </c>
      <c r="BB162" s="622">
        <v>1</v>
      </c>
      <c r="BC162" s="622">
        <v>1</v>
      </c>
      <c r="BD162" s="622"/>
      <c r="BE162" s="622"/>
      <c r="BF162" s="622"/>
      <c r="BG162" s="622">
        <v>1</v>
      </c>
      <c r="BH162" s="622">
        <v>1</v>
      </c>
      <c r="BI162" s="622">
        <v>1</v>
      </c>
      <c r="BJ162" s="622">
        <v>1</v>
      </c>
      <c r="BK162" s="622"/>
      <c r="BL162" s="622"/>
      <c r="BM162" s="622"/>
      <c r="BN162" s="622"/>
      <c r="BO162" s="622"/>
      <c r="BP162" s="622">
        <v>1</v>
      </c>
      <c r="BQ162" s="622">
        <v>1</v>
      </c>
      <c r="BR162" s="622"/>
      <c r="BS162" s="622">
        <v>1</v>
      </c>
      <c r="BT162" s="622">
        <v>1</v>
      </c>
      <c r="BU162" s="622"/>
      <c r="BV162" s="622"/>
      <c r="BW162" s="622"/>
      <c r="BX162" s="622"/>
      <c r="BY162" s="622"/>
      <c r="BZ162" s="622">
        <v>1</v>
      </c>
      <c r="CA162" s="622"/>
      <c r="CB162" s="622">
        <v>1</v>
      </c>
      <c r="CC162" s="622"/>
      <c r="CD162" s="622"/>
      <c r="CE162" s="622"/>
      <c r="CF162" s="622"/>
      <c r="CG162" s="622"/>
      <c r="CH162" s="622"/>
      <c r="CI162" s="623"/>
      <c r="CJ162" s="622"/>
      <c r="CK162" s="622">
        <v>1</v>
      </c>
      <c r="CL162" s="622">
        <v>1</v>
      </c>
      <c r="CM162" s="622">
        <v>1</v>
      </c>
      <c r="CN162" s="622"/>
      <c r="CO162" s="622">
        <v>1</v>
      </c>
      <c r="CP162" s="622">
        <v>1</v>
      </c>
      <c r="CQ162" s="622">
        <v>1</v>
      </c>
      <c r="CR162" s="622"/>
      <c r="CS162" s="622">
        <v>1</v>
      </c>
      <c r="CT162" s="622"/>
      <c r="CU162" s="622"/>
      <c r="CV162" s="622"/>
      <c r="CW162" s="622">
        <v>1</v>
      </c>
      <c r="CX162" s="622"/>
      <c r="CY162" s="622"/>
      <c r="CZ162" s="622"/>
      <c r="DA162" s="622">
        <v>1</v>
      </c>
      <c r="DB162" s="622"/>
      <c r="DC162" s="622">
        <v>1</v>
      </c>
      <c r="DD162" s="622">
        <v>1</v>
      </c>
      <c r="DE162" s="622"/>
      <c r="DF162" s="622"/>
      <c r="DG162" s="622"/>
      <c r="DH162" s="622">
        <v>1</v>
      </c>
      <c r="DI162" s="622"/>
      <c r="DJ162" s="622"/>
      <c r="DK162" s="622">
        <v>1</v>
      </c>
      <c r="DL162" s="622">
        <v>1</v>
      </c>
      <c r="DM162" s="624"/>
      <c r="DN162" s="622"/>
      <c r="DO162" s="622">
        <v>1</v>
      </c>
      <c r="DP162" s="622"/>
      <c r="DQ162" s="622"/>
      <c r="DR162" s="622"/>
      <c r="DS162" s="622"/>
      <c r="DT162" s="622"/>
      <c r="DU162" s="622">
        <v>1</v>
      </c>
      <c r="DV162" s="622">
        <v>1</v>
      </c>
      <c r="DW162" s="622"/>
      <c r="DX162" s="622"/>
      <c r="DY162" s="622"/>
      <c r="DZ162" s="622"/>
      <c r="EA162" s="622">
        <v>1</v>
      </c>
      <c r="EB162" s="622"/>
      <c r="EC162" s="622"/>
      <c r="ED162" s="621">
        <v>1</v>
      </c>
      <c r="EE162" s="507">
        <v>1</v>
      </c>
      <c r="EF162" s="507"/>
      <c r="EG162" s="507">
        <v>1</v>
      </c>
      <c r="EH162" s="507">
        <v>1</v>
      </c>
      <c r="EI162" s="504">
        <v>1</v>
      </c>
      <c r="EJ162" s="636">
        <f t="shared" si="10"/>
        <v>50</v>
      </c>
      <c r="EK162" s="67"/>
      <c r="EL162" s="67"/>
      <c r="EM162" s="67"/>
      <c r="EN162" s="67"/>
      <c r="EO162" s="67"/>
      <c r="EP162" s="67"/>
      <c r="EQ162" s="67"/>
      <c r="ER162" s="67"/>
      <c r="ES162" s="67"/>
      <c r="ET162" s="67"/>
      <c r="EU162" s="67"/>
      <c r="EV162" s="67"/>
      <c r="EW162" s="67"/>
      <c r="EX162" s="67"/>
      <c r="EY162" s="67"/>
      <c r="EZ162" s="67"/>
    </row>
    <row r="163" spans="2:156">
      <c r="B163" s="605" t="s">
        <v>93</v>
      </c>
      <c r="C163" s="622"/>
      <c r="D163" s="622"/>
      <c r="E163" s="622"/>
      <c r="F163" s="622"/>
      <c r="G163" s="622">
        <v>1</v>
      </c>
      <c r="H163" s="622">
        <v>1</v>
      </c>
      <c r="I163" s="622"/>
      <c r="J163" s="622"/>
      <c r="K163" s="622"/>
      <c r="L163" s="622"/>
      <c r="M163" s="622"/>
      <c r="N163" s="622"/>
      <c r="O163" s="622"/>
      <c r="P163" s="622"/>
      <c r="Q163" s="622"/>
      <c r="R163" s="622"/>
      <c r="S163" s="622"/>
      <c r="T163" s="622"/>
      <c r="U163" s="622"/>
      <c r="V163" s="622"/>
      <c r="W163" s="622"/>
      <c r="X163" s="622">
        <v>1</v>
      </c>
      <c r="Y163" s="622"/>
      <c r="Z163" s="622"/>
      <c r="AA163" s="622"/>
      <c r="AB163" s="622"/>
      <c r="AC163" s="622"/>
      <c r="AD163" s="622"/>
      <c r="AE163" s="622"/>
      <c r="AF163" s="622">
        <v>1</v>
      </c>
      <c r="AG163" s="622"/>
      <c r="AH163" s="622"/>
      <c r="AI163" s="622"/>
      <c r="AJ163" s="622">
        <v>1</v>
      </c>
      <c r="AK163" s="622"/>
      <c r="AL163" s="622"/>
      <c r="AM163" s="622"/>
      <c r="AN163" s="622">
        <v>1</v>
      </c>
      <c r="AO163" s="622"/>
      <c r="AP163" s="622"/>
      <c r="AQ163" s="622"/>
      <c r="AR163" s="622"/>
      <c r="AS163" s="622">
        <v>1</v>
      </c>
      <c r="AT163" s="622">
        <v>1</v>
      </c>
      <c r="AU163" s="622"/>
      <c r="AV163" s="622"/>
      <c r="AW163" s="622"/>
      <c r="AX163" s="622">
        <v>1</v>
      </c>
      <c r="AY163" s="622">
        <v>1</v>
      </c>
      <c r="AZ163" s="622">
        <v>1</v>
      </c>
      <c r="BA163" s="622"/>
      <c r="BB163" s="622">
        <v>1</v>
      </c>
      <c r="BC163" s="622">
        <v>1</v>
      </c>
      <c r="BD163" s="622"/>
      <c r="BE163" s="622"/>
      <c r="BF163" s="622"/>
      <c r="BG163" s="622">
        <v>1</v>
      </c>
      <c r="BH163" s="622"/>
      <c r="BI163" s="622"/>
      <c r="BJ163" s="622"/>
      <c r="BK163" s="622"/>
      <c r="BL163" s="622"/>
      <c r="BM163" s="622"/>
      <c r="BN163" s="622"/>
      <c r="BO163" s="622"/>
      <c r="BP163" s="622">
        <v>1</v>
      </c>
      <c r="BQ163" s="622"/>
      <c r="BR163" s="622"/>
      <c r="BS163" s="622"/>
      <c r="BT163" s="622">
        <v>1</v>
      </c>
      <c r="BU163" s="622"/>
      <c r="BV163" s="622"/>
      <c r="BW163" s="622"/>
      <c r="BX163" s="622"/>
      <c r="BY163" s="622"/>
      <c r="BZ163" s="622">
        <v>1</v>
      </c>
      <c r="CA163" s="622"/>
      <c r="CB163" s="622">
        <v>1</v>
      </c>
      <c r="CC163" s="622"/>
      <c r="CD163" s="622"/>
      <c r="CE163" s="622"/>
      <c r="CF163" s="622"/>
      <c r="CG163" s="622"/>
      <c r="CH163" s="622"/>
      <c r="CI163" s="623"/>
      <c r="CJ163" s="622"/>
      <c r="CK163" s="622">
        <v>1</v>
      </c>
      <c r="CL163" s="622">
        <v>1</v>
      </c>
      <c r="CM163" s="622"/>
      <c r="CN163" s="622"/>
      <c r="CO163" s="622">
        <v>1</v>
      </c>
      <c r="CP163" s="622"/>
      <c r="CQ163" s="622"/>
      <c r="CR163" s="622"/>
      <c r="CS163" s="622"/>
      <c r="CT163" s="622"/>
      <c r="CU163" s="622"/>
      <c r="CV163" s="622">
        <v>1</v>
      </c>
      <c r="CW163" s="622">
        <v>1</v>
      </c>
      <c r="CX163" s="622"/>
      <c r="CY163" s="622"/>
      <c r="CZ163" s="622"/>
      <c r="DA163" s="622"/>
      <c r="DB163" s="622">
        <v>1</v>
      </c>
      <c r="DC163" s="622">
        <v>1</v>
      </c>
      <c r="DD163" s="622"/>
      <c r="DE163" s="622">
        <v>1</v>
      </c>
      <c r="DF163" s="622"/>
      <c r="DG163" s="622">
        <v>1</v>
      </c>
      <c r="DH163" s="622">
        <v>1</v>
      </c>
      <c r="DI163" s="622"/>
      <c r="DJ163" s="622"/>
      <c r="DK163" s="622">
        <v>1</v>
      </c>
      <c r="DL163" s="622"/>
      <c r="DM163" s="624"/>
      <c r="DN163" s="622">
        <v>1</v>
      </c>
      <c r="DO163" s="622"/>
      <c r="DP163" s="622"/>
      <c r="DQ163" s="622"/>
      <c r="DR163" s="622"/>
      <c r="DS163" s="622"/>
      <c r="DT163" s="622"/>
      <c r="DU163" s="622"/>
      <c r="DV163" s="622"/>
      <c r="DW163" s="622"/>
      <c r="DX163" s="622"/>
      <c r="DY163" s="622"/>
      <c r="DZ163" s="622"/>
      <c r="EA163" s="622"/>
      <c r="EB163" s="622"/>
      <c r="EC163" s="622"/>
      <c r="ED163" s="621">
        <v>1</v>
      </c>
      <c r="EE163" s="507">
        <v>1</v>
      </c>
      <c r="EF163" s="507">
        <v>1</v>
      </c>
      <c r="EG163" s="507"/>
      <c r="EH163" s="507"/>
      <c r="EI163" s="504">
        <v>1</v>
      </c>
      <c r="EJ163" s="636">
        <f t="shared" si="10"/>
        <v>34</v>
      </c>
      <c r="EK163" s="67"/>
      <c r="EL163" s="67"/>
      <c r="EM163" s="67"/>
      <c r="EN163" s="67"/>
      <c r="EO163" s="67"/>
      <c r="EP163" s="67"/>
      <c r="EQ163" s="67"/>
      <c r="ER163" s="67"/>
      <c r="ES163" s="67"/>
      <c r="ET163" s="67"/>
      <c r="EU163" s="67"/>
      <c r="EV163" s="67"/>
      <c r="EW163" s="67"/>
      <c r="EX163" s="67"/>
      <c r="EY163" s="67"/>
      <c r="EZ163" s="67"/>
    </row>
    <row r="164" spans="2:156">
      <c r="B164" s="605" t="s">
        <v>95</v>
      </c>
      <c r="C164" s="622"/>
      <c r="D164" s="622"/>
      <c r="E164" s="622"/>
      <c r="F164" s="622"/>
      <c r="G164" s="622">
        <v>1</v>
      </c>
      <c r="H164" s="622">
        <v>1</v>
      </c>
      <c r="I164" s="622"/>
      <c r="J164" s="622"/>
      <c r="K164" s="622"/>
      <c r="L164" s="622"/>
      <c r="M164" s="622"/>
      <c r="N164" s="622">
        <v>1</v>
      </c>
      <c r="O164" s="622"/>
      <c r="P164" s="622"/>
      <c r="Q164" s="622"/>
      <c r="R164" s="622"/>
      <c r="S164" s="622"/>
      <c r="T164" s="622"/>
      <c r="U164" s="622"/>
      <c r="V164" s="622"/>
      <c r="W164" s="622">
        <v>1</v>
      </c>
      <c r="X164" s="622">
        <v>1</v>
      </c>
      <c r="Y164" s="622"/>
      <c r="Z164" s="622"/>
      <c r="AA164" s="622"/>
      <c r="AB164" s="622"/>
      <c r="AC164" s="622"/>
      <c r="AD164" s="622"/>
      <c r="AE164" s="622"/>
      <c r="AF164" s="622"/>
      <c r="AG164" s="622"/>
      <c r="AH164" s="622">
        <v>1</v>
      </c>
      <c r="AI164" s="622"/>
      <c r="AJ164" s="622">
        <v>1</v>
      </c>
      <c r="AK164" s="622"/>
      <c r="AL164" s="622"/>
      <c r="AM164" s="622"/>
      <c r="AN164" s="622">
        <v>1</v>
      </c>
      <c r="AO164" s="622"/>
      <c r="AP164" s="622"/>
      <c r="AQ164" s="622"/>
      <c r="AR164" s="622"/>
      <c r="AS164" s="622">
        <v>1</v>
      </c>
      <c r="AT164" s="622">
        <v>1</v>
      </c>
      <c r="AU164" s="622"/>
      <c r="AV164" s="622">
        <v>1</v>
      </c>
      <c r="AW164" s="622"/>
      <c r="AX164" s="622">
        <v>1</v>
      </c>
      <c r="AY164" s="622">
        <v>1</v>
      </c>
      <c r="AZ164" s="622"/>
      <c r="BA164" s="622">
        <v>1</v>
      </c>
      <c r="BB164" s="622">
        <v>1</v>
      </c>
      <c r="BC164" s="622">
        <v>1</v>
      </c>
      <c r="BD164" s="622">
        <v>1</v>
      </c>
      <c r="BE164" s="622"/>
      <c r="BF164" s="622"/>
      <c r="BG164" s="622">
        <v>1</v>
      </c>
      <c r="BH164" s="622"/>
      <c r="BI164" s="622"/>
      <c r="BJ164" s="622"/>
      <c r="BK164" s="622"/>
      <c r="BL164" s="622"/>
      <c r="BM164" s="622"/>
      <c r="BN164" s="622"/>
      <c r="BO164" s="622"/>
      <c r="BP164" s="622">
        <v>1</v>
      </c>
      <c r="BQ164" s="622"/>
      <c r="BR164" s="622"/>
      <c r="BS164" s="622"/>
      <c r="BT164" s="622">
        <v>1</v>
      </c>
      <c r="BU164" s="622"/>
      <c r="BV164" s="622"/>
      <c r="BW164" s="622"/>
      <c r="BX164" s="622"/>
      <c r="BY164" s="622"/>
      <c r="BZ164" s="622"/>
      <c r="CA164" s="622"/>
      <c r="CB164" s="622">
        <v>1</v>
      </c>
      <c r="CC164" s="622"/>
      <c r="CD164" s="622"/>
      <c r="CE164" s="622"/>
      <c r="CF164" s="622"/>
      <c r="CG164" s="622"/>
      <c r="CH164" s="622"/>
      <c r="CI164" s="623"/>
      <c r="CJ164" s="622"/>
      <c r="CK164" s="622"/>
      <c r="CL164" s="622"/>
      <c r="CM164" s="622">
        <v>1</v>
      </c>
      <c r="CN164" s="622"/>
      <c r="CO164" s="622"/>
      <c r="CP164" s="622">
        <v>1</v>
      </c>
      <c r="CQ164" s="622"/>
      <c r="CR164" s="622"/>
      <c r="CS164" s="622"/>
      <c r="CT164" s="622"/>
      <c r="CU164" s="622"/>
      <c r="CV164" s="622">
        <v>1</v>
      </c>
      <c r="CW164" s="622">
        <v>1</v>
      </c>
      <c r="CX164" s="622"/>
      <c r="CY164" s="622"/>
      <c r="CZ164" s="622"/>
      <c r="DA164" s="622"/>
      <c r="DB164" s="622">
        <v>1</v>
      </c>
      <c r="DC164" s="622">
        <v>1</v>
      </c>
      <c r="DD164" s="622"/>
      <c r="DE164" s="622">
        <v>1</v>
      </c>
      <c r="DF164" s="622"/>
      <c r="DG164" s="622">
        <v>1</v>
      </c>
      <c r="DH164" s="622">
        <v>1</v>
      </c>
      <c r="DI164" s="622"/>
      <c r="DJ164" s="622"/>
      <c r="DK164" s="622">
        <v>1</v>
      </c>
      <c r="DL164" s="622"/>
      <c r="DM164" s="624"/>
      <c r="DN164" s="622"/>
      <c r="DO164" s="622"/>
      <c r="DP164" s="622"/>
      <c r="DQ164" s="622">
        <v>1</v>
      </c>
      <c r="DR164" s="622"/>
      <c r="DS164" s="622"/>
      <c r="DT164" s="622"/>
      <c r="DU164" s="622">
        <v>1</v>
      </c>
      <c r="DV164" s="622"/>
      <c r="DW164" s="622"/>
      <c r="DX164" s="622"/>
      <c r="DY164" s="622"/>
      <c r="DZ164" s="622"/>
      <c r="EA164" s="622"/>
      <c r="EB164" s="622"/>
      <c r="EC164" s="622"/>
      <c r="ED164" s="621"/>
      <c r="EE164" s="507">
        <v>1</v>
      </c>
      <c r="EF164" s="507">
        <v>1</v>
      </c>
      <c r="EG164" s="507">
        <v>1</v>
      </c>
      <c r="EH164" s="507">
        <v>1</v>
      </c>
      <c r="EI164" s="504">
        <v>1</v>
      </c>
      <c r="EJ164" s="636">
        <f t="shared" si="10"/>
        <v>38</v>
      </c>
      <c r="EK164" s="67"/>
      <c r="EL164" s="67"/>
      <c r="EM164" s="67"/>
      <c r="EN164" s="67"/>
      <c r="EO164" s="67"/>
      <c r="EP164" s="67"/>
      <c r="EQ164" s="67"/>
      <c r="ER164" s="67"/>
      <c r="ES164" s="67"/>
      <c r="ET164" s="67"/>
      <c r="EU164" s="67"/>
      <c r="EV164" s="67"/>
      <c r="EW164" s="67"/>
      <c r="EX164" s="67"/>
      <c r="EY164" s="67"/>
      <c r="EZ164" s="67"/>
    </row>
    <row r="165" spans="2:156">
      <c r="B165" s="605" t="s">
        <v>88</v>
      </c>
      <c r="C165" s="622"/>
      <c r="D165" s="622"/>
      <c r="E165" s="622"/>
      <c r="F165" s="622"/>
      <c r="G165" s="622">
        <v>1</v>
      </c>
      <c r="H165" s="622">
        <v>1</v>
      </c>
      <c r="I165" s="622"/>
      <c r="J165" s="622"/>
      <c r="K165" s="622"/>
      <c r="L165" s="622"/>
      <c r="M165" s="622"/>
      <c r="N165" s="622">
        <v>1</v>
      </c>
      <c r="O165" s="622"/>
      <c r="P165" s="622">
        <v>1</v>
      </c>
      <c r="Q165" s="622"/>
      <c r="R165" s="622"/>
      <c r="S165" s="622"/>
      <c r="T165" s="622">
        <v>1</v>
      </c>
      <c r="U165" s="622"/>
      <c r="V165" s="622"/>
      <c r="W165" s="622"/>
      <c r="X165" s="622">
        <v>1</v>
      </c>
      <c r="Y165" s="622"/>
      <c r="Z165" s="622">
        <v>1</v>
      </c>
      <c r="AA165" s="622"/>
      <c r="AB165" s="622"/>
      <c r="AC165" s="622"/>
      <c r="AD165" s="622"/>
      <c r="AE165" s="622"/>
      <c r="AF165" s="622"/>
      <c r="AG165" s="622"/>
      <c r="AH165" s="622"/>
      <c r="AI165" s="622"/>
      <c r="AJ165" s="622"/>
      <c r="AK165" s="622"/>
      <c r="AL165" s="622">
        <v>1</v>
      </c>
      <c r="AM165" s="622"/>
      <c r="AN165" s="622"/>
      <c r="AO165" s="622">
        <v>1</v>
      </c>
      <c r="AP165" s="622">
        <v>1</v>
      </c>
      <c r="AQ165" s="622"/>
      <c r="AR165" s="622">
        <v>1</v>
      </c>
      <c r="AS165" s="622"/>
      <c r="AT165" s="622"/>
      <c r="AU165" s="622">
        <v>1</v>
      </c>
      <c r="AV165" s="622">
        <v>1</v>
      </c>
      <c r="AW165" s="622">
        <v>1</v>
      </c>
      <c r="AX165" s="622"/>
      <c r="AY165" s="622">
        <v>1</v>
      </c>
      <c r="AZ165" s="622">
        <v>1</v>
      </c>
      <c r="BA165" s="622">
        <v>1</v>
      </c>
      <c r="BB165" s="622">
        <v>1</v>
      </c>
      <c r="BC165" s="622">
        <v>1</v>
      </c>
      <c r="BD165" s="622">
        <v>1</v>
      </c>
      <c r="BE165" s="622">
        <v>1</v>
      </c>
      <c r="BF165" s="622"/>
      <c r="BG165" s="622">
        <v>1</v>
      </c>
      <c r="BH165" s="622"/>
      <c r="BI165" s="622"/>
      <c r="BJ165" s="622"/>
      <c r="BK165" s="622"/>
      <c r="BL165" s="622"/>
      <c r="BM165" s="622"/>
      <c r="BN165" s="622"/>
      <c r="BO165" s="622"/>
      <c r="BP165" s="622">
        <v>1</v>
      </c>
      <c r="BQ165" s="622"/>
      <c r="BR165" s="622">
        <v>1</v>
      </c>
      <c r="BS165" s="622"/>
      <c r="BT165" s="622"/>
      <c r="BU165" s="622"/>
      <c r="BV165" s="622">
        <v>1</v>
      </c>
      <c r="BW165" s="622"/>
      <c r="BX165" s="622"/>
      <c r="BY165" s="622"/>
      <c r="BZ165" s="622"/>
      <c r="CA165" s="622"/>
      <c r="CB165" s="622"/>
      <c r="CC165" s="622"/>
      <c r="CD165" s="622">
        <v>1</v>
      </c>
      <c r="CE165" s="622"/>
      <c r="CF165" s="622"/>
      <c r="CG165" s="622"/>
      <c r="CH165" s="622"/>
      <c r="CI165" s="623"/>
      <c r="CJ165" s="622"/>
      <c r="CK165" s="622">
        <v>1</v>
      </c>
      <c r="CL165" s="622"/>
      <c r="CM165" s="622"/>
      <c r="CN165" s="622"/>
      <c r="CO165" s="622">
        <v>1</v>
      </c>
      <c r="CP165" s="622">
        <v>1</v>
      </c>
      <c r="CQ165" s="622"/>
      <c r="CR165" s="622"/>
      <c r="CS165" s="622"/>
      <c r="CT165" s="622"/>
      <c r="CU165" s="622"/>
      <c r="CV165" s="622">
        <v>1</v>
      </c>
      <c r="CW165" s="622">
        <v>1</v>
      </c>
      <c r="CX165" s="622">
        <v>1</v>
      </c>
      <c r="CY165" s="622"/>
      <c r="CZ165" s="622"/>
      <c r="DA165" s="622"/>
      <c r="DB165" s="622">
        <v>1</v>
      </c>
      <c r="DC165" s="622">
        <v>1</v>
      </c>
      <c r="DD165" s="622"/>
      <c r="DE165" s="622">
        <v>1</v>
      </c>
      <c r="DF165" s="622">
        <v>1</v>
      </c>
      <c r="DG165" s="622">
        <v>1</v>
      </c>
      <c r="DH165" s="622"/>
      <c r="DI165" s="622"/>
      <c r="DJ165" s="622">
        <v>1</v>
      </c>
      <c r="DK165" s="622">
        <v>1</v>
      </c>
      <c r="DL165" s="622"/>
      <c r="DM165" s="624"/>
      <c r="DN165" s="622"/>
      <c r="DO165" s="622"/>
      <c r="DP165" s="622">
        <v>1</v>
      </c>
      <c r="DQ165" s="622"/>
      <c r="DR165" s="622"/>
      <c r="DS165" s="622"/>
      <c r="DT165" s="622"/>
      <c r="DU165" s="622"/>
      <c r="DV165" s="622"/>
      <c r="DW165" s="622"/>
      <c r="DX165" s="622"/>
      <c r="DY165" s="622"/>
      <c r="DZ165" s="622"/>
      <c r="EA165" s="622"/>
      <c r="EB165" s="622"/>
      <c r="EC165" s="622"/>
      <c r="ED165" s="621"/>
      <c r="EE165" s="507">
        <v>1</v>
      </c>
      <c r="EF165" s="507">
        <v>1</v>
      </c>
      <c r="EG165" s="507">
        <v>1</v>
      </c>
      <c r="EH165" s="507"/>
      <c r="EI165" s="504">
        <v>1</v>
      </c>
      <c r="EJ165" s="636">
        <f t="shared" si="10"/>
        <v>44</v>
      </c>
      <c r="EK165" s="67"/>
      <c r="EL165" s="67"/>
      <c r="EM165" s="67"/>
      <c r="EN165" s="67"/>
      <c r="EO165" s="67"/>
      <c r="EP165" s="67"/>
      <c r="EQ165" s="67"/>
      <c r="ER165" s="67"/>
      <c r="ES165" s="67"/>
      <c r="ET165" s="67"/>
      <c r="EU165" s="67"/>
      <c r="EV165" s="67"/>
      <c r="EW165" s="67"/>
      <c r="EX165" s="67"/>
      <c r="EY165" s="67"/>
      <c r="EZ165" s="67"/>
    </row>
    <row r="166" spans="2:156">
      <c r="B166" s="605" t="s">
        <v>99</v>
      </c>
      <c r="C166" s="622"/>
      <c r="D166" s="622"/>
      <c r="E166" s="622"/>
      <c r="F166" s="622"/>
      <c r="G166" s="622"/>
      <c r="H166" s="622">
        <v>1</v>
      </c>
      <c r="I166" s="622"/>
      <c r="J166" s="622"/>
      <c r="K166" s="622"/>
      <c r="L166" s="622"/>
      <c r="M166" s="622"/>
      <c r="N166" s="622">
        <v>1</v>
      </c>
      <c r="O166" s="622"/>
      <c r="P166" s="622">
        <v>1</v>
      </c>
      <c r="Q166" s="622"/>
      <c r="R166" s="622"/>
      <c r="S166" s="622"/>
      <c r="T166" s="622">
        <v>1</v>
      </c>
      <c r="U166" s="622"/>
      <c r="V166" s="622"/>
      <c r="W166" s="622"/>
      <c r="X166" s="622">
        <v>1</v>
      </c>
      <c r="Y166" s="622"/>
      <c r="Z166" s="622">
        <v>1</v>
      </c>
      <c r="AA166" s="622"/>
      <c r="AB166" s="622"/>
      <c r="AC166" s="622"/>
      <c r="AD166" s="622"/>
      <c r="AE166" s="622"/>
      <c r="AF166" s="622"/>
      <c r="AG166" s="622"/>
      <c r="AH166" s="622">
        <v>1</v>
      </c>
      <c r="AI166" s="622"/>
      <c r="AJ166" s="622"/>
      <c r="AK166" s="622"/>
      <c r="AL166" s="622">
        <v>1</v>
      </c>
      <c r="AM166" s="622"/>
      <c r="AN166" s="622"/>
      <c r="AO166" s="622">
        <v>1</v>
      </c>
      <c r="AP166" s="622"/>
      <c r="AQ166" s="622"/>
      <c r="AR166" s="622">
        <v>1</v>
      </c>
      <c r="AS166" s="622">
        <v>1</v>
      </c>
      <c r="AT166" s="622"/>
      <c r="AU166" s="622">
        <v>1</v>
      </c>
      <c r="AV166" s="622"/>
      <c r="AW166" s="622">
        <v>1</v>
      </c>
      <c r="AX166" s="622"/>
      <c r="AY166" s="622">
        <v>1</v>
      </c>
      <c r="AZ166" s="622"/>
      <c r="BA166" s="622">
        <v>1</v>
      </c>
      <c r="BB166" s="622">
        <v>1</v>
      </c>
      <c r="BC166" s="622">
        <v>1</v>
      </c>
      <c r="BD166" s="622">
        <v>1</v>
      </c>
      <c r="BE166" s="622"/>
      <c r="BF166" s="622">
        <v>1</v>
      </c>
      <c r="BG166" s="622">
        <v>1</v>
      </c>
      <c r="BH166" s="622"/>
      <c r="BI166" s="622"/>
      <c r="BJ166" s="622"/>
      <c r="BK166" s="622"/>
      <c r="BL166" s="622"/>
      <c r="BM166" s="622"/>
      <c r="BN166" s="622"/>
      <c r="BO166" s="622"/>
      <c r="BP166" s="622">
        <v>1</v>
      </c>
      <c r="BQ166" s="622"/>
      <c r="BR166" s="622"/>
      <c r="BS166" s="622"/>
      <c r="BT166" s="622"/>
      <c r="BU166" s="622"/>
      <c r="BV166" s="622">
        <v>1</v>
      </c>
      <c r="BW166" s="622"/>
      <c r="BX166" s="622"/>
      <c r="BY166" s="622"/>
      <c r="BZ166" s="622"/>
      <c r="CA166" s="622"/>
      <c r="CB166" s="622"/>
      <c r="CC166" s="622"/>
      <c r="CD166" s="622">
        <v>1</v>
      </c>
      <c r="CE166" s="622"/>
      <c r="CF166" s="622"/>
      <c r="CG166" s="622"/>
      <c r="CH166" s="622"/>
      <c r="CI166" s="623">
        <v>1</v>
      </c>
      <c r="CJ166" s="622"/>
      <c r="CK166" s="622"/>
      <c r="CL166" s="622"/>
      <c r="CM166" s="622"/>
      <c r="CN166" s="622"/>
      <c r="CO166" s="622">
        <v>1</v>
      </c>
      <c r="CP166" s="622"/>
      <c r="CQ166" s="622"/>
      <c r="CR166" s="622"/>
      <c r="CS166" s="622"/>
      <c r="CT166" s="622"/>
      <c r="CU166" s="622"/>
      <c r="CV166" s="622"/>
      <c r="CW166" s="622">
        <v>1</v>
      </c>
      <c r="CX166" s="622">
        <v>1</v>
      </c>
      <c r="CY166" s="622"/>
      <c r="CZ166" s="622"/>
      <c r="DA166" s="622"/>
      <c r="DB166" s="622">
        <v>1</v>
      </c>
      <c r="DC166" s="622">
        <v>1</v>
      </c>
      <c r="DD166" s="622"/>
      <c r="DE166" s="622">
        <v>1</v>
      </c>
      <c r="DF166" s="622"/>
      <c r="DG166" s="622">
        <v>1</v>
      </c>
      <c r="DH166" s="622"/>
      <c r="DI166" s="622"/>
      <c r="DJ166" s="622">
        <v>1</v>
      </c>
      <c r="DK166" s="622">
        <v>1</v>
      </c>
      <c r="DL166" s="622"/>
      <c r="DM166" s="624"/>
      <c r="DN166" s="622"/>
      <c r="DO166" s="622"/>
      <c r="DP166" s="622"/>
      <c r="DQ166" s="622">
        <v>1</v>
      </c>
      <c r="DR166" s="622"/>
      <c r="DS166" s="622"/>
      <c r="DT166" s="622"/>
      <c r="DU166" s="622"/>
      <c r="DV166" s="622"/>
      <c r="DW166" s="622"/>
      <c r="DX166" s="622"/>
      <c r="DY166" s="622"/>
      <c r="DZ166" s="622"/>
      <c r="EA166" s="622"/>
      <c r="EB166" s="622"/>
      <c r="EC166" s="622"/>
      <c r="ED166" s="621"/>
      <c r="EE166" s="507">
        <v>1</v>
      </c>
      <c r="EF166" s="507">
        <v>1</v>
      </c>
      <c r="EG166" s="507"/>
      <c r="EH166" s="507"/>
      <c r="EI166" s="504">
        <v>1</v>
      </c>
      <c r="EJ166" s="636">
        <f t="shared" si="10"/>
        <v>37</v>
      </c>
      <c r="EK166" s="67"/>
      <c r="EL166" s="67"/>
      <c r="EM166" s="67"/>
      <c r="EN166" s="67"/>
      <c r="EO166" s="67"/>
      <c r="EP166" s="67"/>
      <c r="EQ166" s="67"/>
      <c r="ER166" s="67"/>
      <c r="ES166" s="67"/>
      <c r="ET166" s="67"/>
      <c r="EU166" s="67"/>
      <c r="EV166" s="67"/>
      <c r="EW166" s="67"/>
      <c r="EX166" s="67"/>
      <c r="EY166" s="67"/>
      <c r="EZ166" s="67"/>
    </row>
    <row r="167" spans="2:156">
      <c r="B167" s="605" t="s">
        <v>87</v>
      </c>
      <c r="C167" s="622"/>
      <c r="D167" s="622"/>
      <c r="E167" s="622"/>
      <c r="F167" s="622"/>
      <c r="G167" s="622">
        <v>1</v>
      </c>
      <c r="H167" s="622">
        <v>1</v>
      </c>
      <c r="I167" s="622"/>
      <c r="J167" s="622"/>
      <c r="K167" s="622"/>
      <c r="L167" s="622"/>
      <c r="M167" s="622"/>
      <c r="N167" s="622">
        <v>1</v>
      </c>
      <c r="O167" s="622"/>
      <c r="P167" s="622"/>
      <c r="Q167" s="622"/>
      <c r="R167" s="622"/>
      <c r="S167" s="622"/>
      <c r="T167" s="622">
        <v>1</v>
      </c>
      <c r="U167" s="622"/>
      <c r="V167" s="622"/>
      <c r="W167" s="622"/>
      <c r="X167" s="622">
        <v>1</v>
      </c>
      <c r="Y167" s="622"/>
      <c r="Z167" s="622">
        <v>1</v>
      </c>
      <c r="AA167" s="622"/>
      <c r="AB167" s="622"/>
      <c r="AC167" s="622"/>
      <c r="AD167" s="622"/>
      <c r="AE167" s="622"/>
      <c r="AF167" s="622"/>
      <c r="AG167" s="622"/>
      <c r="AH167" s="622">
        <v>1</v>
      </c>
      <c r="AI167" s="622"/>
      <c r="AJ167" s="622"/>
      <c r="AK167" s="622"/>
      <c r="AL167" s="622">
        <v>1</v>
      </c>
      <c r="AM167" s="622"/>
      <c r="AN167" s="622"/>
      <c r="AO167" s="622">
        <v>1</v>
      </c>
      <c r="AP167" s="622">
        <v>1</v>
      </c>
      <c r="AQ167" s="622"/>
      <c r="AR167" s="622"/>
      <c r="AS167" s="622">
        <v>1</v>
      </c>
      <c r="AT167" s="622"/>
      <c r="AU167" s="622"/>
      <c r="AV167" s="622"/>
      <c r="AW167" s="622"/>
      <c r="AX167" s="622">
        <v>1</v>
      </c>
      <c r="AY167" s="622">
        <v>1</v>
      </c>
      <c r="AZ167" s="622"/>
      <c r="BA167" s="622"/>
      <c r="BB167" s="622">
        <v>1</v>
      </c>
      <c r="BC167" s="622">
        <v>1</v>
      </c>
      <c r="BD167" s="622"/>
      <c r="BE167" s="622">
        <v>1</v>
      </c>
      <c r="BF167" s="622"/>
      <c r="BG167" s="622">
        <v>1</v>
      </c>
      <c r="BH167" s="622"/>
      <c r="BI167" s="622"/>
      <c r="BJ167" s="622"/>
      <c r="BK167" s="622"/>
      <c r="BL167" s="622"/>
      <c r="BM167" s="622"/>
      <c r="BN167" s="622"/>
      <c r="BO167" s="622"/>
      <c r="BP167" s="622">
        <v>1</v>
      </c>
      <c r="BQ167" s="622"/>
      <c r="BR167" s="622">
        <v>1</v>
      </c>
      <c r="BS167" s="622"/>
      <c r="BT167" s="622"/>
      <c r="BU167" s="622"/>
      <c r="BV167" s="622">
        <v>1</v>
      </c>
      <c r="BW167" s="622"/>
      <c r="BX167" s="622"/>
      <c r="BY167" s="622"/>
      <c r="BZ167" s="622"/>
      <c r="CA167" s="622"/>
      <c r="CB167" s="622"/>
      <c r="CC167" s="622"/>
      <c r="CD167" s="622">
        <v>1</v>
      </c>
      <c r="CE167" s="622"/>
      <c r="CF167" s="622"/>
      <c r="CG167" s="622"/>
      <c r="CH167" s="622"/>
      <c r="CI167" s="623"/>
      <c r="CJ167" s="622"/>
      <c r="CK167" s="622"/>
      <c r="CL167" s="622"/>
      <c r="CM167" s="622"/>
      <c r="CN167" s="622"/>
      <c r="CO167" s="622">
        <v>1</v>
      </c>
      <c r="CP167" s="622"/>
      <c r="CQ167" s="622"/>
      <c r="CR167" s="622"/>
      <c r="CS167" s="622"/>
      <c r="CT167" s="622"/>
      <c r="CU167" s="622"/>
      <c r="CV167" s="622">
        <v>1</v>
      </c>
      <c r="CW167" s="622">
        <v>1</v>
      </c>
      <c r="CX167" s="622">
        <v>1</v>
      </c>
      <c r="CY167" s="622"/>
      <c r="CZ167" s="622"/>
      <c r="DA167" s="622"/>
      <c r="DB167" s="622">
        <v>1</v>
      </c>
      <c r="DC167" s="622">
        <v>1</v>
      </c>
      <c r="DD167" s="622"/>
      <c r="DE167" s="622">
        <v>1</v>
      </c>
      <c r="DF167" s="622">
        <v>1</v>
      </c>
      <c r="DG167" s="622">
        <v>1</v>
      </c>
      <c r="DH167" s="622"/>
      <c r="DI167" s="622"/>
      <c r="DJ167" s="622">
        <v>1</v>
      </c>
      <c r="DK167" s="622">
        <v>1</v>
      </c>
      <c r="DL167" s="622"/>
      <c r="DM167" s="624">
        <v>1</v>
      </c>
      <c r="DN167" s="622"/>
      <c r="DO167" s="622"/>
      <c r="DP167" s="622"/>
      <c r="DQ167" s="622"/>
      <c r="DR167" s="622"/>
      <c r="DS167" s="622"/>
      <c r="DT167" s="622"/>
      <c r="DU167" s="622"/>
      <c r="DV167" s="622"/>
      <c r="DW167" s="622"/>
      <c r="DX167" s="622"/>
      <c r="DY167" s="622"/>
      <c r="DZ167" s="622"/>
      <c r="EA167" s="622"/>
      <c r="EB167" s="622"/>
      <c r="EC167" s="622"/>
      <c r="ED167" s="621"/>
      <c r="EE167" s="507">
        <v>1</v>
      </c>
      <c r="EF167" s="507">
        <v>1</v>
      </c>
      <c r="EG167" s="507">
        <v>1</v>
      </c>
      <c r="EH167" s="507">
        <v>1</v>
      </c>
      <c r="EI167" s="504">
        <v>1</v>
      </c>
      <c r="EJ167" s="636">
        <f t="shared" si="10"/>
        <v>38</v>
      </c>
      <c r="EK167" s="67"/>
      <c r="EL167" s="67"/>
      <c r="EM167" s="67"/>
      <c r="EN167" s="67"/>
      <c r="EO167" s="67"/>
      <c r="EP167" s="67"/>
      <c r="EQ167" s="67"/>
      <c r="ER167" s="67"/>
      <c r="ES167" s="67"/>
      <c r="ET167" s="67"/>
      <c r="EU167" s="67"/>
      <c r="EV167" s="67"/>
      <c r="EW167" s="67"/>
      <c r="EX167" s="67"/>
      <c r="EY167" s="67"/>
      <c r="EZ167" s="67"/>
    </row>
    <row r="168" spans="2:156">
      <c r="B168" s="605" t="s">
        <v>89</v>
      </c>
      <c r="C168" s="622"/>
      <c r="D168" s="622"/>
      <c r="E168" s="622"/>
      <c r="F168" s="622"/>
      <c r="G168" s="622">
        <v>1</v>
      </c>
      <c r="H168" s="622">
        <v>1</v>
      </c>
      <c r="I168" s="622"/>
      <c r="J168" s="622"/>
      <c r="K168" s="622"/>
      <c r="L168" s="622"/>
      <c r="M168" s="622"/>
      <c r="N168" s="622"/>
      <c r="O168" s="622"/>
      <c r="P168" s="622"/>
      <c r="Q168" s="622"/>
      <c r="R168" s="622"/>
      <c r="S168" s="622">
        <v>1</v>
      </c>
      <c r="T168" s="622"/>
      <c r="U168" s="622"/>
      <c r="V168" s="622"/>
      <c r="W168" s="622"/>
      <c r="X168" s="622">
        <v>1</v>
      </c>
      <c r="Y168" s="622"/>
      <c r="Z168" s="622">
        <v>1</v>
      </c>
      <c r="AA168" s="622">
        <v>1</v>
      </c>
      <c r="AB168" s="622"/>
      <c r="AC168" s="622"/>
      <c r="AD168" s="622"/>
      <c r="AE168" s="622"/>
      <c r="AF168" s="622"/>
      <c r="AG168" s="622"/>
      <c r="AH168" s="622">
        <v>1</v>
      </c>
      <c r="AI168" s="622"/>
      <c r="AJ168" s="622"/>
      <c r="AK168" s="622">
        <v>1</v>
      </c>
      <c r="AL168" s="622"/>
      <c r="AM168" s="622">
        <v>1</v>
      </c>
      <c r="AN168" s="622"/>
      <c r="AO168" s="622"/>
      <c r="AP168" s="622"/>
      <c r="AQ168" s="622"/>
      <c r="AR168" s="622"/>
      <c r="AS168" s="622">
        <v>1</v>
      </c>
      <c r="AT168" s="622"/>
      <c r="AU168" s="622">
        <v>1</v>
      </c>
      <c r="AV168" s="622"/>
      <c r="AW168" s="622"/>
      <c r="AX168" s="622"/>
      <c r="AY168" s="622">
        <v>1</v>
      </c>
      <c r="AZ168" s="622"/>
      <c r="BA168" s="622"/>
      <c r="BB168" s="622">
        <v>1</v>
      </c>
      <c r="BC168" s="622">
        <v>1</v>
      </c>
      <c r="BD168" s="622"/>
      <c r="BE168" s="622"/>
      <c r="BF168" s="622"/>
      <c r="BG168" s="622"/>
      <c r="BH168" s="622"/>
      <c r="BI168" s="622"/>
      <c r="BJ168" s="622"/>
      <c r="BK168" s="622"/>
      <c r="BL168" s="622"/>
      <c r="BM168" s="622"/>
      <c r="BN168" s="622">
        <v>1</v>
      </c>
      <c r="BO168" s="622"/>
      <c r="BP168" s="622">
        <v>1</v>
      </c>
      <c r="BQ168" s="622"/>
      <c r="BR168" s="622"/>
      <c r="BS168" s="622"/>
      <c r="BT168" s="622"/>
      <c r="BU168" s="622">
        <v>1</v>
      </c>
      <c r="BV168" s="622"/>
      <c r="BW168" s="622"/>
      <c r="BX168" s="622"/>
      <c r="BY168" s="622"/>
      <c r="BZ168" s="622"/>
      <c r="CA168" s="622"/>
      <c r="CB168" s="622"/>
      <c r="CC168" s="622">
        <v>1</v>
      </c>
      <c r="CD168" s="622"/>
      <c r="CE168" s="622"/>
      <c r="CF168" s="622">
        <v>1</v>
      </c>
      <c r="CG168" s="622"/>
      <c r="CH168" s="622"/>
      <c r="CI168" s="623"/>
      <c r="CJ168" s="622"/>
      <c r="CK168" s="622"/>
      <c r="CL168" s="622"/>
      <c r="CM168" s="622"/>
      <c r="CN168" s="622"/>
      <c r="CO168" s="622">
        <v>1</v>
      </c>
      <c r="CP168" s="622"/>
      <c r="CQ168" s="622"/>
      <c r="CR168" s="622"/>
      <c r="CS168" s="622"/>
      <c r="CT168" s="622"/>
      <c r="CU168" s="622"/>
      <c r="CV168" s="622"/>
      <c r="CW168" s="622">
        <v>1</v>
      </c>
      <c r="CX168" s="622">
        <v>1</v>
      </c>
      <c r="CY168" s="622"/>
      <c r="CZ168" s="622"/>
      <c r="DA168" s="622"/>
      <c r="DB168" s="622">
        <v>1</v>
      </c>
      <c r="DC168" s="622">
        <v>1</v>
      </c>
      <c r="DD168" s="622"/>
      <c r="DE168" s="622">
        <v>1</v>
      </c>
      <c r="DF168" s="622"/>
      <c r="DG168" s="622"/>
      <c r="DH168" s="622"/>
      <c r="DI168" s="622">
        <v>1</v>
      </c>
      <c r="DJ168" s="622"/>
      <c r="DK168" s="622">
        <v>1</v>
      </c>
      <c r="DL168" s="622"/>
      <c r="DM168" s="624"/>
      <c r="DN168" s="622"/>
      <c r="DO168" s="622"/>
      <c r="DP168" s="622"/>
      <c r="DQ168" s="622"/>
      <c r="DR168" s="622"/>
      <c r="DS168" s="622"/>
      <c r="DT168" s="622">
        <v>1</v>
      </c>
      <c r="DU168" s="622"/>
      <c r="DV168" s="622"/>
      <c r="DW168" s="622"/>
      <c r="DX168" s="622"/>
      <c r="DY168" s="622"/>
      <c r="DZ168" s="622"/>
      <c r="EA168" s="622"/>
      <c r="EB168" s="622"/>
      <c r="EC168" s="622"/>
      <c r="ED168" s="621"/>
      <c r="EE168" s="507">
        <v>1</v>
      </c>
      <c r="EF168" s="507"/>
      <c r="EG168" s="507">
        <v>1</v>
      </c>
      <c r="EH168" s="507">
        <v>1</v>
      </c>
      <c r="EI168" s="504">
        <v>1</v>
      </c>
      <c r="EJ168" s="636">
        <f t="shared" si="10"/>
        <v>32</v>
      </c>
      <c r="EK168" s="67"/>
      <c r="EL168" s="67"/>
      <c r="EM168" s="67"/>
      <c r="EN168" s="67"/>
      <c r="EO168" s="67"/>
      <c r="EP168" s="67"/>
      <c r="EQ168" s="67"/>
      <c r="ER168" s="67"/>
      <c r="ES168" s="67"/>
      <c r="ET168" s="67"/>
      <c r="EU168" s="67"/>
      <c r="EV168" s="67"/>
      <c r="EW168" s="67"/>
      <c r="EX168" s="67"/>
      <c r="EY168" s="67"/>
      <c r="EZ168" s="67"/>
    </row>
    <row r="169" spans="2:156">
      <c r="B169" s="605" t="s">
        <v>91</v>
      </c>
      <c r="C169" s="622"/>
      <c r="D169" s="622"/>
      <c r="E169" s="622"/>
      <c r="F169" s="622"/>
      <c r="G169" s="622"/>
      <c r="H169" s="622">
        <v>1</v>
      </c>
      <c r="I169" s="622"/>
      <c r="J169" s="622"/>
      <c r="K169" s="622"/>
      <c r="L169" s="622"/>
      <c r="M169" s="622"/>
      <c r="N169" s="622">
        <v>1</v>
      </c>
      <c r="O169" s="622"/>
      <c r="P169" s="622"/>
      <c r="Q169" s="622"/>
      <c r="R169" s="622"/>
      <c r="S169" s="622">
        <v>1</v>
      </c>
      <c r="T169" s="622"/>
      <c r="U169" s="622"/>
      <c r="V169" s="622"/>
      <c r="W169" s="622"/>
      <c r="X169" s="622">
        <v>1</v>
      </c>
      <c r="Y169" s="622"/>
      <c r="Z169" s="622">
        <v>1</v>
      </c>
      <c r="AA169" s="622">
        <v>1</v>
      </c>
      <c r="AB169" s="622"/>
      <c r="AC169" s="622"/>
      <c r="AD169" s="622"/>
      <c r="AE169" s="622"/>
      <c r="AF169" s="622"/>
      <c r="AG169" s="622"/>
      <c r="AH169" s="622">
        <v>1</v>
      </c>
      <c r="AI169" s="622"/>
      <c r="AJ169" s="622"/>
      <c r="AK169" s="622">
        <v>1</v>
      </c>
      <c r="AL169" s="622"/>
      <c r="AM169" s="622">
        <v>1</v>
      </c>
      <c r="AN169" s="622"/>
      <c r="AO169" s="622"/>
      <c r="AP169" s="622"/>
      <c r="AQ169" s="622"/>
      <c r="AR169" s="622"/>
      <c r="AS169" s="622">
        <v>1</v>
      </c>
      <c r="AT169" s="622"/>
      <c r="AU169" s="622">
        <v>1</v>
      </c>
      <c r="AV169" s="622"/>
      <c r="AW169" s="622"/>
      <c r="AX169" s="622"/>
      <c r="AY169" s="622">
        <v>1</v>
      </c>
      <c r="AZ169" s="622"/>
      <c r="BA169" s="622">
        <v>1</v>
      </c>
      <c r="BB169" s="622">
        <v>1</v>
      </c>
      <c r="BC169" s="622">
        <v>1</v>
      </c>
      <c r="BD169" s="622">
        <v>1</v>
      </c>
      <c r="BE169" s="622"/>
      <c r="BF169" s="622"/>
      <c r="BG169" s="622"/>
      <c r="BH169" s="622"/>
      <c r="BI169" s="622"/>
      <c r="BJ169" s="622"/>
      <c r="BK169" s="622"/>
      <c r="BL169" s="622"/>
      <c r="BM169" s="622"/>
      <c r="BN169" s="622">
        <v>1</v>
      </c>
      <c r="BO169" s="622"/>
      <c r="BP169" s="622">
        <v>1</v>
      </c>
      <c r="BQ169" s="622"/>
      <c r="BR169" s="622"/>
      <c r="BS169" s="622"/>
      <c r="BT169" s="622"/>
      <c r="BU169" s="622">
        <v>1</v>
      </c>
      <c r="BV169" s="622"/>
      <c r="BW169" s="622"/>
      <c r="BX169" s="622"/>
      <c r="BY169" s="622"/>
      <c r="BZ169" s="622"/>
      <c r="CA169" s="622"/>
      <c r="CB169" s="622"/>
      <c r="CC169" s="622">
        <v>1</v>
      </c>
      <c r="CD169" s="622"/>
      <c r="CE169" s="622"/>
      <c r="CF169" s="622">
        <v>1</v>
      </c>
      <c r="CG169" s="622">
        <v>1</v>
      </c>
      <c r="CH169" s="622"/>
      <c r="CI169" s="623">
        <v>1</v>
      </c>
      <c r="CJ169" s="622"/>
      <c r="CK169" s="622">
        <v>1</v>
      </c>
      <c r="CL169" s="622"/>
      <c r="CM169" s="622"/>
      <c r="CN169" s="622"/>
      <c r="CO169" s="622">
        <v>1</v>
      </c>
      <c r="CP169" s="622"/>
      <c r="CQ169" s="622"/>
      <c r="CR169" s="622"/>
      <c r="CS169" s="622"/>
      <c r="CT169" s="622"/>
      <c r="CU169" s="622"/>
      <c r="CV169" s="622"/>
      <c r="CW169" s="622">
        <v>1</v>
      </c>
      <c r="CX169" s="622">
        <v>1</v>
      </c>
      <c r="CY169" s="622"/>
      <c r="CZ169" s="622"/>
      <c r="DA169" s="622"/>
      <c r="DB169" s="622">
        <v>1</v>
      </c>
      <c r="DC169" s="622">
        <v>1</v>
      </c>
      <c r="DD169" s="622"/>
      <c r="DE169" s="622">
        <v>1</v>
      </c>
      <c r="DF169" s="622">
        <v>1</v>
      </c>
      <c r="DG169" s="622"/>
      <c r="DH169" s="622"/>
      <c r="DI169" s="622">
        <v>1</v>
      </c>
      <c r="DJ169" s="622"/>
      <c r="DK169" s="622">
        <v>1</v>
      </c>
      <c r="DL169" s="622"/>
      <c r="DM169" s="624"/>
      <c r="DN169" s="622"/>
      <c r="DO169" s="622"/>
      <c r="DP169" s="622"/>
      <c r="DQ169" s="622"/>
      <c r="DR169" s="622"/>
      <c r="DS169" s="622"/>
      <c r="DT169" s="622">
        <v>1</v>
      </c>
      <c r="DU169" s="622"/>
      <c r="DV169" s="622"/>
      <c r="DW169" s="622">
        <v>1</v>
      </c>
      <c r="DX169" s="622"/>
      <c r="DY169" s="622"/>
      <c r="DZ169" s="622"/>
      <c r="EA169" s="622"/>
      <c r="EB169" s="622"/>
      <c r="EC169" s="622"/>
      <c r="ED169" s="621"/>
      <c r="EE169" s="507">
        <v>1</v>
      </c>
      <c r="EF169" s="507"/>
      <c r="EG169" s="507">
        <v>1</v>
      </c>
      <c r="EH169" s="507">
        <v>1</v>
      </c>
      <c r="EI169" s="504">
        <v>1</v>
      </c>
      <c r="EJ169" s="636">
        <f t="shared" si="10"/>
        <v>39</v>
      </c>
      <c r="EK169" s="67"/>
      <c r="EL169" s="67"/>
      <c r="EM169" s="67"/>
      <c r="EN169" s="67"/>
      <c r="EO169" s="67"/>
      <c r="EP169" s="67"/>
      <c r="EQ169" s="67"/>
      <c r="ER169" s="67"/>
      <c r="ES169" s="67"/>
      <c r="ET169" s="67"/>
      <c r="EU169" s="67"/>
      <c r="EV169" s="67"/>
      <c r="EW169" s="67"/>
      <c r="EX169" s="67"/>
      <c r="EY169" s="67"/>
      <c r="EZ169" s="67"/>
    </row>
    <row r="170" spans="2:156">
      <c r="B170" s="605" t="s">
        <v>100</v>
      </c>
      <c r="C170" s="622"/>
      <c r="D170" s="622"/>
      <c r="E170" s="622"/>
      <c r="F170" s="622"/>
      <c r="G170" s="622"/>
      <c r="H170" s="622">
        <v>1</v>
      </c>
      <c r="I170" s="622"/>
      <c r="J170" s="622"/>
      <c r="K170" s="622"/>
      <c r="L170" s="622"/>
      <c r="M170" s="622"/>
      <c r="N170" s="622"/>
      <c r="O170" s="622"/>
      <c r="P170" s="622"/>
      <c r="Q170" s="622"/>
      <c r="R170" s="622"/>
      <c r="S170" s="622">
        <v>1</v>
      </c>
      <c r="T170" s="622"/>
      <c r="U170" s="622">
        <v>1</v>
      </c>
      <c r="V170" s="622"/>
      <c r="W170" s="622"/>
      <c r="X170" s="622">
        <v>1</v>
      </c>
      <c r="Y170" s="622"/>
      <c r="Z170" s="622">
        <v>1</v>
      </c>
      <c r="AA170" s="622"/>
      <c r="AB170" s="622"/>
      <c r="AC170" s="622"/>
      <c r="AD170" s="622">
        <v>1</v>
      </c>
      <c r="AE170" s="622"/>
      <c r="AF170" s="622"/>
      <c r="AG170" s="622">
        <v>1</v>
      </c>
      <c r="AH170" s="622">
        <v>1</v>
      </c>
      <c r="AI170" s="622">
        <v>1</v>
      </c>
      <c r="AJ170" s="622"/>
      <c r="AK170" s="622">
        <v>1</v>
      </c>
      <c r="AL170" s="622"/>
      <c r="AM170" s="622">
        <v>1</v>
      </c>
      <c r="AN170" s="622"/>
      <c r="AO170" s="622"/>
      <c r="AP170" s="622"/>
      <c r="AQ170" s="622"/>
      <c r="AR170" s="622"/>
      <c r="AS170" s="622">
        <v>1</v>
      </c>
      <c r="AT170" s="622"/>
      <c r="AU170" s="622">
        <v>1</v>
      </c>
      <c r="AV170" s="622">
        <v>1</v>
      </c>
      <c r="AW170" s="622">
        <v>1</v>
      </c>
      <c r="AX170" s="622"/>
      <c r="AY170" s="622">
        <v>1</v>
      </c>
      <c r="AZ170" s="622">
        <v>1</v>
      </c>
      <c r="BA170" s="622">
        <v>1</v>
      </c>
      <c r="BB170" s="622">
        <v>1</v>
      </c>
      <c r="BC170" s="622">
        <v>1</v>
      </c>
      <c r="BD170" s="622">
        <v>1</v>
      </c>
      <c r="BE170" s="622">
        <v>1</v>
      </c>
      <c r="BF170" s="622">
        <v>1</v>
      </c>
      <c r="BG170" s="622">
        <v>1</v>
      </c>
      <c r="BH170" s="622"/>
      <c r="BI170" s="622"/>
      <c r="BJ170" s="622"/>
      <c r="BK170" s="622"/>
      <c r="BL170" s="622"/>
      <c r="BM170" s="622"/>
      <c r="BN170" s="622">
        <v>1</v>
      </c>
      <c r="BO170" s="622"/>
      <c r="BP170" s="622">
        <v>1</v>
      </c>
      <c r="BQ170" s="622"/>
      <c r="BR170" s="622"/>
      <c r="BS170" s="622"/>
      <c r="BT170" s="622"/>
      <c r="BU170" s="622">
        <v>1</v>
      </c>
      <c r="BV170" s="622"/>
      <c r="BW170" s="622"/>
      <c r="BX170" s="622"/>
      <c r="BY170" s="622"/>
      <c r="BZ170" s="622"/>
      <c r="CA170" s="622"/>
      <c r="CB170" s="622"/>
      <c r="CC170" s="622">
        <v>1</v>
      </c>
      <c r="CD170" s="622"/>
      <c r="CE170" s="622"/>
      <c r="CF170" s="622">
        <v>1</v>
      </c>
      <c r="CG170" s="622">
        <v>1</v>
      </c>
      <c r="CH170" s="622"/>
      <c r="CI170" s="623">
        <v>1</v>
      </c>
      <c r="CJ170" s="622"/>
      <c r="CK170" s="622">
        <v>1</v>
      </c>
      <c r="CL170" s="622"/>
      <c r="CM170" s="622"/>
      <c r="CN170" s="622">
        <v>1</v>
      </c>
      <c r="CO170" s="622">
        <v>1</v>
      </c>
      <c r="CP170" s="622"/>
      <c r="CQ170" s="622"/>
      <c r="CR170" s="622"/>
      <c r="CS170" s="622"/>
      <c r="CT170" s="622"/>
      <c r="CU170" s="622"/>
      <c r="CV170" s="622"/>
      <c r="CW170" s="622">
        <v>1</v>
      </c>
      <c r="CX170" s="622">
        <v>1</v>
      </c>
      <c r="CY170" s="622"/>
      <c r="CZ170" s="622"/>
      <c r="DA170" s="622"/>
      <c r="DB170" s="622">
        <v>1</v>
      </c>
      <c r="DC170" s="622">
        <v>1</v>
      </c>
      <c r="DD170" s="622"/>
      <c r="DE170" s="622">
        <v>1</v>
      </c>
      <c r="DF170" s="622"/>
      <c r="DG170" s="622"/>
      <c r="DH170" s="622"/>
      <c r="DI170" s="622">
        <v>1</v>
      </c>
      <c r="DJ170" s="622"/>
      <c r="DK170" s="622">
        <v>1</v>
      </c>
      <c r="DL170" s="622"/>
      <c r="DM170" s="624"/>
      <c r="DN170" s="622"/>
      <c r="DO170" s="622"/>
      <c r="DP170" s="622"/>
      <c r="DQ170" s="622"/>
      <c r="DR170" s="622"/>
      <c r="DS170" s="622"/>
      <c r="DT170" s="622">
        <v>1</v>
      </c>
      <c r="DU170" s="622"/>
      <c r="DV170" s="622"/>
      <c r="DW170" s="622">
        <v>1</v>
      </c>
      <c r="DX170" s="622"/>
      <c r="DY170" s="622"/>
      <c r="DZ170" s="622">
        <v>1</v>
      </c>
      <c r="EA170" s="622"/>
      <c r="EB170" s="622"/>
      <c r="EC170" s="622"/>
      <c r="ED170" s="621"/>
      <c r="EE170" s="507">
        <v>1</v>
      </c>
      <c r="EF170" s="507"/>
      <c r="EG170" s="507">
        <v>1</v>
      </c>
      <c r="EH170" s="507">
        <v>1</v>
      </c>
      <c r="EI170" s="504">
        <v>1</v>
      </c>
      <c r="EJ170" s="636">
        <f t="shared" si="10"/>
        <v>48</v>
      </c>
      <c r="EK170" s="67"/>
      <c r="EL170" s="67"/>
      <c r="EM170" s="67"/>
      <c r="EN170" s="67"/>
      <c r="EO170" s="67"/>
      <c r="EP170" s="67"/>
      <c r="EQ170" s="67"/>
      <c r="ER170" s="67"/>
      <c r="ES170" s="67"/>
      <c r="ET170" s="67"/>
      <c r="EU170" s="67"/>
      <c r="EV170" s="67"/>
      <c r="EW170" s="67"/>
      <c r="EX170" s="67"/>
      <c r="EY170" s="67"/>
      <c r="EZ170" s="67"/>
    </row>
    <row r="171" spans="2:156">
      <c r="B171" s="605" t="s">
        <v>101</v>
      </c>
      <c r="C171" s="622"/>
      <c r="D171" s="622"/>
      <c r="E171" s="622"/>
      <c r="F171" s="622"/>
      <c r="G171" s="622"/>
      <c r="H171" s="622">
        <v>1</v>
      </c>
      <c r="I171" s="622"/>
      <c r="J171" s="622"/>
      <c r="K171" s="622"/>
      <c r="L171" s="622"/>
      <c r="M171" s="622"/>
      <c r="N171" s="622"/>
      <c r="O171" s="622"/>
      <c r="P171" s="622"/>
      <c r="Q171" s="622"/>
      <c r="R171" s="622"/>
      <c r="S171" s="622">
        <v>1</v>
      </c>
      <c r="T171" s="622"/>
      <c r="U171" s="622">
        <v>1</v>
      </c>
      <c r="V171" s="622"/>
      <c r="W171" s="622"/>
      <c r="X171" s="622">
        <v>1</v>
      </c>
      <c r="Y171" s="622"/>
      <c r="Z171" s="622">
        <v>1</v>
      </c>
      <c r="AA171" s="622"/>
      <c r="AB171" s="622"/>
      <c r="AC171" s="622"/>
      <c r="AD171" s="622">
        <v>1</v>
      </c>
      <c r="AE171" s="622"/>
      <c r="AF171" s="622"/>
      <c r="AG171" s="622">
        <v>1</v>
      </c>
      <c r="AH171" s="622">
        <v>1</v>
      </c>
      <c r="AI171" s="622">
        <v>1</v>
      </c>
      <c r="AJ171" s="622"/>
      <c r="AK171" s="622">
        <v>1</v>
      </c>
      <c r="AL171" s="622"/>
      <c r="AM171" s="622">
        <v>1</v>
      </c>
      <c r="AN171" s="622"/>
      <c r="AO171" s="622"/>
      <c r="AP171" s="622"/>
      <c r="AQ171" s="622"/>
      <c r="AR171" s="622"/>
      <c r="AS171" s="622"/>
      <c r="AT171" s="622">
        <v>1</v>
      </c>
      <c r="AU171" s="622"/>
      <c r="AV171" s="622"/>
      <c r="AW171" s="622"/>
      <c r="AX171" s="622"/>
      <c r="AY171" s="622">
        <v>1</v>
      </c>
      <c r="AZ171" s="622"/>
      <c r="BA171" s="622">
        <v>1</v>
      </c>
      <c r="BB171" s="622">
        <v>1</v>
      </c>
      <c r="BC171" s="622">
        <v>1</v>
      </c>
      <c r="BD171" s="622">
        <v>1</v>
      </c>
      <c r="BE171" s="622"/>
      <c r="BF171" s="622"/>
      <c r="BG171" s="622"/>
      <c r="BH171" s="622"/>
      <c r="BI171" s="622"/>
      <c r="BJ171" s="622"/>
      <c r="BK171" s="622"/>
      <c r="BL171" s="622">
        <v>1</v>
      </c>
      <c r="BM171" s="622"/>
      <c r="BN171" s="622">
        <v>1</v>
      </c>
      <c r="BO171" s="622">
        <v>1</v>
      </c>
      <c r="BP171" s="622">
        <v>1</v>
      </c>
      <c r="BQ171" s="622"/>
      <c r="BR171" s="622"/>
      <c r="BS171" s="622"/>
      <c r="BT171" s="622"/>
      <c r="BU171" s="622">
        <v>1</v>
      </c>
      <c r="BV171" s="622"/>
      <c r="BW171" s="622">
        <v>1</v>
      </c>
      <c r="BX171" s="622">
        <v>1</v>
      </c>
      <c r="BY171" s="622"/>
      <c r="BZ171" s="622"/>
      <c r="CA171" s="622"/>
      <c r="CB171" s="622"/>
      <c r="CC171" s="622">
        <v>1</v>
      </c>
      <c r="CD171" s="622"/>
      <c r="CE171" s="622">
        <v>1</v>
      </c>
      <c r="CF171" s="622">
        <v>1</v>
      </c>
      <c r="CG171" s="622">
        <v>1</v>
      </c>
      <c r="CH171" s="622"/>
      <c r="CI171" s="623"/>
      <c r="CJ171" s="622"/>
      <c r="CK171" s="622">
        <v>1</v>
      </c>
      <c r="CL171" s="622"/>
      <c r="CM171" s="622"/>
      <c r="CN171" s="622">
        <v>1</v>
      </c>
      <c r="CO171" s="622">
        <v>1</v>
      </c>
      <c r="CP171" s="622"/>
      <c r="CQ171" s="622"/>
      <c r="CR171" s="622"/>
      <c r="CS171" s="622"/>
      <c r="CT171" s="622"/>
      <c r="CU171" s="622"/>
      <c r="CV171" s="622">
        <v>1</v>
      </c>
      <c r="CW171" s="622">
        <v>1</v>
      </c>
      <c r="CX171" s="622"/>
      <c r="CY171" s="622"/>
      <c r="CZ171" s="622"/>
      <c r="DA171" s="622"/>
      <c r="DB171" s="622">
        <v>1</v>
      </c>
      <c r="DC171" s="622">
        <v>1</v>
      </c>
      <c r="DD171" s="622"/>
      <c r="DE171" s="622">
        <v>1</v>
      </c>
      <c r="DF171" s="622"/>
      <c r="DG171" s="622"/>
      <c r="DH171" s="622"/>
      <c r="DI171" s="622">
        <v>1</v>
      </c>
      <c r="DJ171" s="622"/>
      <c r="DK171" s="622">
        <v>1</v>
      </c>
      <c r="DL171" s="622"/>
      <c r="DM171" s="624"/>
      <c r="DN171" s="622"/>
      <c r="DO171" s="622"/>
      <c r="DP171" s="622"/>
      <c r="DQ171" s="622"/>
      <c r="DR171" s="622"/>
      <c r="DS171" s="622"/>
      <c r="DT171" s="622">
        <v>1</v>
      </c>
      <c r="DU171" s="622"/>
      <c r="DV171" s="622"/>
      <c r="DW171" s="622">
        <v>1</v>
      </c>
      <c r="DX171" s="622"/>
      <c r="DY171" s="622">
        <v>1</v>
      </c>
      <c r="DZ171" s="622">
        <v>1</v>
      </c>
      <c r="EA171" s="622"/>
      <c r="EB171" s="622"/>
      <c r="EC171" s="622"/>
      <c r="ED171" s="621"/>
      <c r="EE171" s="507">
        <v>1</v>
      </c>
      <c r="EF171" s="507"/>
      <c r="EG171" s="507">
        <v>1</v>
      </c>
      <c r="EH171" s="507">
        <v>1</v>
      </c>
      <c r="EI171" s="504">
        <v>1</v>
      </c>
      <c r="EJ171" s="636">
        <f t="shared" si="10"/>
        <v>46</v>
      </c>
      <c r="EK171" s="67"/>
      <c r="EL171" s="67"/>
      <c r="EM171" s="67"/>
      <c r="EN171" s="67"/>
      <c r="EO171" s="67"/>
      <c r="EP171" s="67"/>
      <c r="EQ171" s="67"/>
      <c r="ER171" s="67"/>
      <c r="ES171" s="67"/>
      <c r="ET171" s="67"/>
      <c r="EU171" s="67"/>
      <c r="EV171" s="67"/>
      <c r="EW171" s="67"/>
      <c r="EX171" s="67"/>
      <c r="EY171" s="67"/>
      <c r="EZ171" s="67"/>
    </row>
    <row r="172" spans="2:156">
      <c r="B172" s="605" t="s">
        <v>90</v>
      </c>
      <c r="C172" s="622"/>
      <c r="D172" s="622"/>
      <c r="E172" s="622"/>
      <c r="F172" s="622"/>
      <c r="G172" s="622"/>
      <c r="H172" s="622">
        <v>1</v>
      </c>
      <c r="I172" s="622"/>
      <c r="J172" s="622"/>
      <c r="K172" s="622"/>
      <c r="L172" s="622"/>
      <c r="M172" s="622"/>
      <c r="N172" s="622"/>
      <c r="O172" s="622"/>
      <c r="P172" s="622"/>
      <c r="Q172" s="622"/>
      <c r="R172" s="622"/>
      <c r="S172" s="622">
        <v>1</v>
      </c>
      <c r="T172" s="622"/>
      <c r="U172" s="622"/>
      <c r="V172" s="622"/>
      <c r="W172" s="622"/>
      <c r="X172" s="622">
        <v>1</v>
      </c>
      <c r="Y172" s="622"/>
      <c r="Z172" s="622">
        <v>1</v>
      </c>
      <c r="AA172" s="622">
        <v>1</v>
      </c>
      <c r="AB172" s="622"/>
      <c r="AC172" s="622"/>
      <c r="AD172" s="622"/>
      <c r="AE172" s="622"/>
      <c r="AF172" s="622"/>
      <c r="AG172" s="622"/>
      <c r="AH172" s="622">
        <v>1</v>
      </c>
      <c r="AI172" s="622"/>
      <c r="AJ172" s="622"/>
      <c r="AK172" s="622">
        <v>1</v>
      </c>
      <c r="AL172" s="622"/>
      <c r="AM172" s="622">
        <v>1</v>
      </c>
      <c r="AN172" s="622"/>
      <c r="AO172" s="622"/>
      <c r="AP172" s="622"/>
      <c r="AQ172" s="622"/>
      <c r="AR172" s="622">
        <v>1</v>
      </c>
      <c r="AS172" s="622"/>
      <c r="AT172" s="622"/>
      <c r="AU172" s="622"/>
      <c r="AV172" s="622">
        <v>1</v>
      </c>
      <c r="AW172" s="622"/>
      <c r="AX172" s="622">
        <v>1</v>
      </c>
      <c r="AY172" s="622">
        <v>1</v>
      </c>
      <c r="AZ172" s="622">
        <v>1</v>
      </c>
      <c r="BA172" s="622">
        <v>1</v>
      </c>
      <c r="BB172" s="622">
        <v>1</v>
      </c>
      <c r="BC172" s="622">
        <v>1</v>
      </c>
      <c r="BD172" s="622"/>
      <c r="BE172" s="622"/>
      <c r="BF172" s="622"/>
      <c r="BG172" s="622"/>
      <c r="BH172" s="622"/>
      <c r="BI172" s="622"/>
      <c r="BJ172" s="622"/>
      <c r="BK172" s="622"/>
      <c r="BL172" s="622"/>
      <c r="BM172" s="622"/>
      <c r="BN172" s="622">
        <v>1</v>
      </c>
      <c r="BO172" s="622"/>
      <c r="BP172" s="622">
        <v>1</v>
      </c>
      <c r="BQ172" s="622"/>
      <c r="BR172" s="622"/>
      <c r="BS172" s="622"/>
      <c r="BT172" s="622"/>
      <c r="BU172" s="622">
        <v>1</v>
      </c>
      <c r="BV172" s="622"/>
      <c r="BW172" s="622"/>
      <c r="BX172" s="622"/>
      <c r="BY172" s="622"/>
      <c r="BZ172" s="622"/>
      <c r="CA172" s="622"/>
      <c r="CB172" s="622"/>
      <c r="CC172" s="622">
        <v>1</v>
      </c>
      <c r="CD172" s="622"/>
      <c r="CE172" s="622"/>
      <c r="CF172" s="622">
        <v>1</v>
      </c>
      <c r="CG172" s="622"/>
      <c r="CH172" s="622"/>
      <c r="CI172" s="623"/>
      <c r="CJ172" s="622"/>
      <c r="CK172" s="622">
        <v>1</v>
      </c>
      <c r="CL172" s="622"/>
      <c r="CM172" s="622"/>
      <c r="CN172" s="622"/>
      <c r="CO172" s="622">
        <v>1</v>
      </c>
      <c r="CP172" s="622"/>
      <c r="CQ172" s="622"/>
      <c r="CR172" s="622"/>
      <c r="CS172" s="622"/>
      <c r="CT172" s="622"/>
      <c r="CU172" s="622"/>
      <c r="CV172" s="622"/>
      <c r="CW172" s="622">
        <v>1</v>
      </c>
      <c r="CX172" s="622"/>
      <c r="CY172" s="622"/>
      <c r="CZ172" s="622"/>
      <c r="DA172" s="622"/>
      <c r="DB172" s="622">
        <v>1</v>
      </c>
      <c r="DC172" s="622">
        <v>1</v>
      </c>
      <c r="DD172" s="622"/>
      <c r="DE172" s="622">
        <v>1</v>
      </c>
      <c r="DF172" s="622"/>
      <c r="DG172" s="622">
        <v>1</v>
      </c>
      <c r="DH172" s="622"/>
      <c r="DI172" s="622">
        <v>1</v>
      </c>
      <c r="DJ172" s="622"/>
      <c r="DK172" s="622">
        <v>1</v>
      </c>
      <c r="DL172" s="622"/>
      <c r="DM172" s="624"/>
      <c r="DN172" s="622"/>
      <c r="DO172" s="622"/>
      <c r="DP172" s="622"/>
      <c r="DQ172" s="622"/>
      <c r="DR172" s="622"/>
      <c r="DS172" s="622"/>
      <c r="DT172" s="622">
        <v>1</v>
      </c>
      <c r="DU172" s="622"/>
      <c r="DV172" s="622"/>
      <c r="DW172" s="622">
        <v>1</v>
      </c>
      <c r="DX172" s="622"/>
      <c r="DY172" s="622"/>
      <c r="DZ172" s="622"/>
      <c r="EA172" s="622"/>
      <c r="EB172" s="622"/>
      <c r="EC172" s="622"/>
      <c r="ED172" s="621"/>
      <c r="EE172" s="507">
        <v>1</v>
      </c>
      <c r="EF172" s="507"/>
      <c r="EG172" s="507">
        <v>1</v>
      </c>
      <c r="EH172" s="507">
        <v>1</v>
      </c>
      <c r="EI172" s="504">
        <v>1</v>
      </c>
      <c r="EJ172" s="636">
        <f t="shared" si="10"/>
        <v>36</v>
      </c>
      <c r="EK172" s="67"/>
      <c r="EL172" s="67"/>
      <c r="EM172" s="67"/>
      <c r="EN172" s="67"/>
      <c r="EO172" s="67"/>
      <c r="EP172" s="67"/>
      <c r="EQ172" s="67"/>
      <c r="ER172" s="67"/>
      <c r="ES172" s="67"/>
      <c r="ET172" s="67"/>
      <c r="EU172" s="67"/>
      <c r="EV172" s="67"/>
      <c r="EW172" s="67"/>
      <c r="EX172" s="67"/>
      <c r="EY172" s="67"/>
      <c r="EZ172" s="67"/>
    </row>
    <row r="173" spans="2:156">
      <c r="B173" s="605" t="s">
        <v>137</v>
      </c>
      <c r="C173" s="622"/>
      <c r="D173" s="622">
        <v>1</v>
      </c>
      <c r="E173" s="622">
        <v>1</v>
      </c>
      <c r="F173" s="622">
        <v>1</v>
      </c>
      <c r="G173" s="622"/>
      <c r="H173" s="622">
        <v>1</v>
      </c>
      <c r="I173" s="622">
        <v>1</v>
      </c>
      <c r="J173" s="622">
        <v>1</v>
      </c>
      <c r="K173" s="622"/>
      <c r="L173" s="622"/>
      <c r="M173" s="622">
        <v>1</v>
      </c>
      <c r="N173" s="622"/>
      <c r="O173" s="622"/>
      <c r="P173" s="622"/>
      <c r="Q173" s="622"/>
      <c r="R173" s="622"/>
      <c r="S173" s="622"/>
      <c r="T173" s="622"/>
      <c r="U173" s="622"/>
      <c r="V173" s="622"/>
      <c r="W173" s="622"/>
      <c r="X173" s="622">
        <v>1</v>
      </c>
      <c r="Y173" s="622">
        <v>1</v>
      </c>
      <c r="Z173" s="622"/>
      <c r="AA173" s="622"/>
      <c r="AB173" s="622"/>
      <c r="AC173" s="622"/>
      <c r="AD173" s="622"/>
      <c r="AE173" s="622"/>
      <c r="AF173" s="622"/>
      <c r="AG173" s="622"/>
      <c r="AH173" s="622">
        <v>1</v>
      </c>
      <c r="AI173" s="622"/>
      <c r="AJ173" s="622">
        <v>1</v>
      </c>
      <c r="AK173" s="622"/>
      <c r="AL173" s="622"/>
      <c r="AM173" s="622"/>
      <c r="AN173" s="622">
        <v>1</v>
      </c>
      <c r="AO173" s="622"/>
      <c r="AP173" s="622"/>
      <c r="AQ173" s="622"/>
      <c r="AR173" s="622"/>
      <c r="AS173" s="622"/>
      <c r="AT173" s="622"/>
      <c r="AU173" s="622">
        <v>1</v>
      </c>
      <c r="AV173" s="622"/>
      <c r="AW173" s="622"/>
      <c r="AX173" s="622"/>
      <c r="AY173" s="622">
        <v>1</v>
      </c>
      <c r="AZ173" s="622"/>
      <c r="BA173" s="622">
        <v>1</v>
      </c>
      <c r="BB173" s="622">
        <v>1</v>
      </c>
      <c r="BC173" s="622">
        <v>1</v>
      </c>
      <c r="BD173" s="622"/>
      <c r="BE173" s="622">
        <v>1</v>
      </c>
      <c r="BF173" s="622">
        <v>1</v>
      </c>
      <c r="BG173" s="622"/>
      <c r="BH173" s="622"/>
      <c r="BI173" s="622"/>
      <c r="BJ173" s="622"/>
      <c r="BK173" s="622">
        <v>1</v>
      </c>
      <c r="BL173" s="622"/>
      <c r="BM173" s="622"/>
      <c r="BN173" s="622"/>
      <c r="BO173" s="622"/>
      <c r="BP173" s="622">
        <v>1</v>
      </c>
      <c r="BQ173" s="622"/>
      <c r="BR173" s="622">
        <v>1</v>
      </c>
      <c r="BS173" s="622"/>
      <c r="BT173" s="622">
        <v>1</v>
      </c>
      <c r="BU173" s="622"/>
      <c r="BV173" s="622"/>
      <c r="BW173" s="622"/>
      <c r="BX173" s="622"/>
      <c r="BY173" s="622">
        <v>1</v>
      </c>
      <c r="BZ173" s="622"/>
      <c r="CA173" s="622"/>
      <c r="CB173" s="622">
        <v>1</v>
      </c>
      <c r="CC173" s="622"/>
      <c r="CD173" s="622"/>
      <c r="CE173" s="622"/>
      <c r="CF173" s="622">
        <v>1</v>
      </c>
      <c r="CG173" s="622"/>
      <c r="CH173" s="622"/>
      <c r="CI173" s="623"/>
      <c r="CJ173" s="622"/>
      <c r="CK173" s="622"/>
      <c r="CL173" s="622">
        <v>1</v>
      </c>
      <c r="CM173" s="622"/>
      <c r="CN173" s="622"/>
      <c r="CO173" s="622">
        <v>1</v>
      </c>
      <c r="CP173" s="622"/>
      <c r="CQ173" s="622"/>
      <c r="CR173" s="622"/>
      <c r="CS173" s="622"/>
      <c r="CT173" s="622">
        <v>1</v>
      </c>
      <c r="CU173" s="622">
        <v>1</v>
      </c>
      <c r="CV173" s="622">
        <v>1</v>
      </c>
      <c r="CW173" s="622">
        <v>1</v>
      </c>
      <c r="CX173" s="622"/>
      <c r="CY173" s="622">
        <v>1</v>
      </c>
      <c r="CZ173" s="622"/>
      <c r="DA173" s="622"/>
      <c r="DB173" s="622">
        <v>1</v>
      </c>
      <c r="DC173" s="622">
        <v>1</v>
      </c>
      <c r="DD173" s="622"/>
      <c r="DE173" s="622"/>
      <c r="DF173" s="622"/>
      <c r="DG173" s="622"/>
      <c r="DH173" s="622">
        <v>1</v>
      </c>
      <c r="DI173" s="622"/>
      <c r="DJ173" s="622"/>
      <c r="DK173" s="622">
        <v>1</v>
      </c>
      <c r="DL173" s="622"/>
      <c r="DM173" s="624"/>
      <c r="DN173" s="622"/>
      <c r="DO173" s="622"/>
      <c r="DP173" s="622"/>
      <c r="DQ173" s="622"/>
      <c r="DR173" s="622"/>
      <c r="DS173" s="622">
        <v>1</v>
      </c>
      <c r="DT173" s="622"/>
      <c r="DU173" s="622"/>
      <c r="DV173" s="622"/>
      <c r="DW173" s="622"/>
      <c r="DX173" s="622"/>
      <c r="DY173" s="622"/>
      <c r="DZ173" s="622"/>
      <c r="EA173" s="622"/>
      <c r="EB173" s="622"/>
      <c r="EC173" s="622"/>
      <c r="ED173" s="621"/>
      <c r="EE173" s="507">
        <v>1</v>
      </c>
      <c r="EF173" s="507">
        <v>1</v>
      </c>
      <c r="EG173" s="507">
        <v>1</v>
      </c>
      <c r="EH173" s="507"/>
      <c r="EI173" s="504"/>
      <c r="EJ173" s="636">
        <f t="shared" si="10"/>
        <v>41</v>
      </c>
      <c r="EK173" s="67"/>
      <c r="EL173" s="67"/>
      <c r="EM173" s="67"/>
      <c r="EN173" s="67"/>
      <c r="EO173" s="67"/>
      <c r="EP173" s="67"/>
      <c r="EQ173" s="67"/>
      <c r="ER173" s="67"/>
      <c r="ES173" s="67"/>
      <c r="ET173" s="67"/>
      <c r="EU173" s="67"/>
      <c r="EV173" s="67"/>
      <c r="EW173" s="67"/>
      <c r="EX173" s="67"/>
      <c r="EY173" s="67"/>
      <c r="EZ173" s="67"/>
    </row>
    <row r="174" spans="2:156">
      <c r="B174" s="605" t="s">
        <v>94</v>
      </c>
      <c r="C174" s="622"/>
      <c r="D174" s="622"/>
      <c r="E174" s="622"/>
      <c r="F174" s="622"/>
      <c r="G174" s="622">
        <v>1</v>
      </c>
      <c r="H174" s="622">
        <v>1</v>
      </c>
      <c r="I174" s="622"/>
      <c r="J174" s="622"/>
      <c r="K174" s="622"/>
      <c r="L174" s="622"/>
      <c r="M174" s="622"/>
      <c r="N174" s="622"/>
      <c r="O174" s="622"/>
      <c r="P174" s="622"/>
      <c r="Q174" s="622"/>
      <c r="R174" s="622"/>
      <c r="S174" s="622"/>
      <c r="T174" s="622"/>
      <c r="U174" s="622"/>
      <c r="V174" s="622"/>
      <c r="W174" s="622"/>
      <c r="X174" s="622">
        <v>1</v>
      </c>
      <c r="Y174" s="622"/>
      <c r="Z174" s="622">
        <v>1</v>
      </c>
      <c r="AA174" s="622"/>
      <c r="AB174" s="622"/>
      <c r="AC174" s="622"/>
      <c r="AD174" s="622"/>
      <c r="AE174" s="622"/>
      <c r="AF174" s="622"/>
      <c r="AG174" s="622"/>
      <c r="AH174" s="622">
        <v>1</v>
      </c>
      <c r="AI174" s="622"/>
      <c r="AJ174" s="622"/>
      <c r="AK174" s="622"/>
      <c r="AL174" s="622"/>
      <c r="AM174" s="622"/>
      <c r="AN174" s="622"/>
      <c r="AO174" s="622"/>
      <c r="AP174" s="622"/>
      <c r="AQ174" s="622"/>
      <c r="AR174" s="622"/>
      <c r="AS174" s="622"/>
      <c r="AT174" s="622"/>
      <c r="AU174" s="622"/>
      <c r="AV174" s="622"/>
      <c r="AW174" s="622"/>
      <c r="AX174" s="622">
        <v>1</v>
      </c>
      <c r="AY174" s="622">
        <v>1</v>
      </c>
      <c r="AZ174" s="622"/>
      <c r="BA174" s="622">
        <v>1</v>
      </c>
      <c r="BB174" s="622">
        <v>1</v>
      </c>
      <c r="BC174" s="622">
        <v>1</v>
      </c>
      <c r="BD174" s="622">
        <v>1</v>
      </c>
      <c r="BE174" s="622"/>
      <c r="BF174" s="622"/>
      <c r="BG174" s="622"/>
      <c r="BH174" s="622"/>
      <c r="BI174" s="622"/>
      <c r="BJ174" s="622"/>
      <c r="BK174" s="622"/>
      <c r="BL174" s="622">
        <v>1</v>
      </c>
      <c r="BM174" s="622"/>
      <c r="BN174" s="622"/>
      <c r="BO174" s="622">
        <v>1</v>
      </c>
      <c r="BP174" s="622">
        <v>1</v>
      </c>
      <c r="BQ174" s="622"/>
      <c r="BR174" s="622"/>
      <c r="BS174" s="622"/>
      <c r="BT174" s="622"/>
      <c r="BU174" s="622"/>
      <c r="BV174" s="622"/>
      <c r="BW174" s="622">
        <v>1</v>
      </c>
      <c r="BX174" s="622">
        <v>1</v>
      </c>
      <c r="BY174" s="622"/>
      <c r="BZ174" s="622"/>
      <c r="CA174" s="622"/>
      <c r="CB174" s="622"/>
      <c r="CC174" s="622"/>
      <c r="CD174" s="622"/>
      <c r="CE174" s="622">
        <v>1</v>
      </c>
      <c r="CF174" s="622">
        <v>1</v>
      </c>
      <c r="CG174" s="622"/>
      <c r="CH174" s="622"/>
      <c r="CI174" s="623"/>
      <c r="CJ174" s="622"/>
      <c r="CK174" s="622"/>
      <c r="CL174" s="622"/>
      <c r="CM174" s="622"/>
      <c r="CN174" s="622"/>
      <c r="CO174" s="622"/>
      <c r="CP174" s="622"/>
      <c r="CQ174" s="622"/>
      <c r="CR174" s="622"/>
      <c r="CS174" s="622"/>
      <c r="CT174" s="622"/>
      <c r="CU174" s="622"/>
      <c r="CV174" s="622"/>
      <c r="CW174" s="622"/>
      <c r="CX174" s="622"/>
      <c r="CY174" s="622"/>
      <c r="CZ174" s="622"/>
      <c r="DA174" s="622"/>
      <c r="DB174" s="622"/>
      <c r="DC174" s="622">
        <v>1</v>
      </c>
      <c r="DD174" s="622"/>
      <c r="DE174" s="622"/>
      <c r="DF174" s="622"/>
      <c r="DG174" s="622"/>
      <c r="DH174" s="622"/>
      <c r="DI174" s="622"/>
      <c r="DJ174" s="622"/>
      <c r="DK174" s="622">
        <v>1</v>
      </c>
      <c r="DL174" s="622"/>
      <c r="DM174" s="624"/>
      <c r="DN174" s="622"/>
      <c r="DO174" s="622"/>
      <c r="DP174" s="622">
        <v>1</v>
      </c>
      <c r="DQ174" s="622"/>
      <c r="DR174" s="622"/>
      <c r="DS174" s="622"/>
      <c r="DT174" s="622">
        <v>1</v>
      </c>
      <c r="DU174" s="622"/>
      <c r="DV174" s="622"/>
      <c r="DW174" s="622"/>
      <c r="DX174" s="622"/>
      <c r="DY174" s="622">
        <v>1</v>
      </c>
      <c r="DZ174" s="622"/>
      <c r="EA174" s="622"/>
      <c r="EB174" s="622"/>
      <c r="EC174" s="622"/>
      <c r="ED174" s="621"/>
      <c r="EE174" s="507"/>
      <c r="EF174" s="507"/>
      <c r="EG174" s="507"/>
      <c r="EH174" s="507"/>
      <c r="EI174" s="504"/>
      <c r="EJ174" s="636">
        <f t="shared" si="10"/>
        <v>23</v>
      </c>
      <c r="EK174" s="67"/>
      <c r="EL174" s="67"/>
      <c r="EM174" s="67"/>
      <c r="EN174" s="67"/>
      <c r="EO174" s="67"/>
      <c r="EP174" s="67"/>
      <c r="EQ174" s="67"/>
      <c r="ER174" s="67"/>
      <c r="ES174" s="67"/>
      <c r="ET174" s="67"/>
      <c r="EU174" s="67"/>
      <c r="EV174" s="67"/>
      <c r="EW174" s="67"/>
      <c r="EX174" s="67"/>
      <c r="EY174" s="67"/>
      <c r="EZ174" s="67"/>
    </row>
    <row r="175" spans="2:156">
      <c r="B175" s="605" t="s">
        <v>70</v>
      </c>
      <c r="C175" s="622"/>
      <c r="D175" s="622"/>
      <c r="E175" s="622"/>
      <c r="F175" s="622"/>
      <c r="G175" s="622"/>
      <c r="H175" s="622"/>
      <c r="I175" s="622"/>
      <c r="J175" s="622"/>
      <c r="K175" s="622">
        <v>1</v>
      </c>
      <c r="L175" s="622">
        <v>1</v>
      </c>
      <c r="M175" s="622"/>
      <c r="N175" s="622">
        <v>1</v>
      </c>
      <c r="O175" s="622">
        <v>1</v>
      </c>
      <c r="P175" s="622"/>
      <c r="Q175" s="622"/>
      <c r="R175" s="622"/>
      <c r="S175" s="622"/>
      <c r="T175" s="622"/>
      <c r="U175" s="622"/>
      <c r="V175" s="622">
        <v>1</v>
      </c>
      <c r="W175" s="622">
        <v>1</v>
      </c>
      <c r="X175" s="622"/>
      <c r="Y175" s="622"/>
      <c r="Z175" s="622"/>
      <c r="AA175" s="622"/>
      <c r="AB175" s="622">
        <v>1</v>
      </c>
      <c r="AC175" s="622"/>
      <c r="AD175" s="622"/>
      <c r="AE175" s="622">
        <v>1</v>
      </c>
      <c r="AF175" s="622"/>
      <c r="AG175" s="622"/>
      <c r="AH175" s="622">
        <v>1</v>
      </c>
      <c r="AI175" s="622"/>
      <c r="AJ175" s="622"/>
      <c r="AK175" s="622"/>
      <c r="AL175" s="622"/>
      <c r="AM175" s="622"/>
      <c r="AN175" s="622"/>
      <c r="AO175" s="622"/>
      <c r="AP175" s="622"/>
      <c r="AQ175" s="622">
        <v>1</v>
      </c>
      <c r="AR175" s="622"/>
      <c r="AS175" s="622"/>
      <c r="AT175" s="622"/>
      <c r="AU175" s="622">
        <v>1</v>
      </c>
      <c r="AV175" s="622"/>
      <c r="AW175" s="622"/>
      <c r="AX175" s="622"/>
      <c r="AY175" s="622"/>
      <c r="AZ175" s="622"/>
      <c r="BA175" s="622">
        <v>1</v>
      </c>
      <c r="BB175" s="622"/>
      <c r="BC175" s="622"/>
      <c r="BD175" s="622"/>
      <c r="BE175" s="622"/>
      <c r="BF175" s="622"/>
      <c r="BG175" s="622"/>
      <c r="BH175" s="622">
        <v>1</v>
      </c>
      <c r="BI175" s="622">
        <v>1</v>
      </c>
      <c r="BJ175" s="622">
        <v>1</v>
      </c>
      <c r="BK175" s="622"/>
      <c r="BL175" s="622"/>
      <c r="BM175" s="622"/>
      <c r="BN175" s="622"/>
      <c r="BO175" s="622"/>
      <c r="BP175" s="622"/>
      <c r="BQ175" s="622">
        <v>1</v>
      </c>
      <c r="BR175" s="622"/>
      <c r="BS175" s="622">
        <v>1</v>
      </c>
      <c r="BT175" s="622"/>
      <c r="BU175" s="622"/>
      <c r="BV175" s="622"/>
      <c r="BW175" s="622"/>
      <c r="BX175" s="622"/>
      <c r="BY175" s="622"/>
      <c r="BZ175" s="622">
        <v>1</v>
      </c>
      <c r="CA175" s="622"/>
      <c r="CB175" s="622"/>
      <c r="CC175" s="622"/>
      <c r="CD175" s="622"/>
      <c r="CE175" s="622"/>
      <c r="CF175" s="622"/>
      <c r="CG175" s="622"/>
      <c r="CH175" s="622">
        <v>1</v>
      </c>
      <c r="CI175" s="623">
        <v>1</v>
      </c>
      <c r="CJ175" s="622"/>
      <c r="CK175" s="622"/>
      <c r="CL175" s="622"/>
      <c r="CM175" s="622"/>
      <c r="CN175" s="622"/>
      <c r="CO175" s="622"/>
      <c r="CP175" s="622"/>
      <c r="CQ175" s="622">
        <v>1</v>
      </c>
      <c r="CR175" s="622">
        <v>1</v>
      </c>
      <c r="CS175" s="622"/>
      <c r="CT175" s="622"/>
      <c r="CU175" s="622">
        <v>1</v>
      </c>
      <c r="CV175" s="622"/>
      <c r="CW175" s="622"/>
      <c r="CX175" s="622"/>
      <c r="CY175" s="622"/>
      <c r="CZ175" s="622"/>
      <c r="DA175" s="622">
        <v>1</v>
      </c>
      <c r="DB175" s="622"/>
      <c r="DC175" s="622"/>
      <c r="DD175" s="622"/>
      <c r="DE175" s="622"/>
      <c r="DF175" s="622"/>
      <c r="DG175" s="622"/>
      <c r="DH175" s="622"/>
      <c r="DI175" s="622"/>
      <c r="DJ175" s="622"/>
      <c r="DK175" s="622"/>
      <c r="DL175" s="622">
        <v>1</v>
      </c>
      <c r="DM175" s="624">
        <v>1</v>
      </c>
      <c r="DN175" s="622">
        <v>1</v>
      </c>
      <c r="DO175" s="622">
        <v>1</v>
      </c>
      <c r="DP175" s="622"/>
      <c r="DQ175" s="622"/>
      <c r="DR175" s="622"/>
      <c r="DS175" s="622"/>
      <c r="DT175" s="622"/>
      <c r="DU175" s="622">
        <v>1</v>
      </c>
      <c r="DV175" s="622">
        <v>1</v>
      </c>
      <c r="DW175" s="622"/>
      <c r="DX175" s="622"/>
      <c r="DY175" s="622"/>
      <c r="DZ175" s="622"/>
      <c r="EA175" s="622"/>
      <c r="EB175" s="622">
        <v>1</v>
      </c>
      <c r="EC175" s="622">
        <v>1</v>
      </c>
      <c r="ED175" s="621"/>
      <c r="EE175" s="507"/>
      <c r="EF175" s="507"/>
      <c r="EG175" s="507"/>
      <c r="EH175" s="507"/>
      <c r="EI175" s="504"/>
      <c r="EJ175" s="636">
        <f t="shared" si="10"/>
        <v>32</v>
      </c>
      <c r="EK175" s="67"/>
      <c r="EL175" s="67"/>
      <c r="EM175" s="67"/>
      <c r="EN175" s="67"/>
      <c r="EO175" s="67"/>
      <c r="EP175" s="67"/>
      <c r="EQ175" s="67"/>
      <c r="ER175" s="67"/>
      <c r="ES175" s="67"/>
      <c r="ET175" s="67"/>
      <c r="EU175" s="67"/>
      <c r="EV175" s="67"/>
      <c r="EW175" s="67"/>
      <c r="EX175" s="67"/>
      <c r="EY175" s="67"/>
      <c r="EZ175" s="67"/>
    </row>
    <row r="176" spans="2:156">
      <c r="B176" s="462"/>
      <c r="E176"/>
      <c r="EK176" s="67"/>
      <c r="EL176" s="67"/>
      <c r="EM176" s="67"/>
      <c r="EN176" s="67"/>
      <c r="EO176" s="67"/>
      <c r="EP176" s="67"/>
      <c r="EQ176" s="67"/>
      <c r="ER176" s="67"/>
      <c r="ES176" s="67"/>
      <c r="ET176" s="67"/>
      <c r="EU176" s="67"/>
      <c r="EV176" s="67"/>
      <c r="EW176" s="67"/>
      <c r="EX176" s="67"/>
      <c r="EY176" s="67"/>
      <c r="EZ176" s="67"/>
    </row>
    <row r="177" spans="1:156" ht="15.6">
      <c r="A177" s="99"/>
      <c r="B177" s="638">
        <v>2013</v>
      </c>
      <c r="C177" s="99"/>
      <c r="D177" s="99"/>
      <c r="E177" s="99"/>
      <c r="F177" s="99"/>
      <c r="G177" s="99"/>
      <c r="H177" s="99"/>
      <c r="I177" s="99"/>
      <c r="J177" s="99"/>
      <c r="K177" s="99"/>
      <c r="L177" s="99"/>
      <c r="M177" s="99"/>
      <c r="N177" s="99"/>
      <c r="O177" s="99"/>
      <c r="P177" s="99"/>
      <c r="Q177" s="99"/>
      <c r="R177" s="99"/>
      <c r="S177" s="99"/>
      <c r="T177" s="99"/>
      <c r="U177" s="99"/>
      <c r="V177" s="99"/>
      <c r="W177" s="99"/>
      <c r="X177" s="99"/>
      <c r="Y177" s="99"/>
      <c r="Z177" s="99"/>
      <c r="AA177" s="99"/>
      <c r="AB177" s="99"/>
      <c r="AC177" s="99"/>
      <c r="AD177" s="99"/>
      <c r="AE177" s="99"/>
      <c r="AF177" s="99"/>
      <c r="AG177" s="99"/>
      <c r="AH177" s="99"/>
      <c r="AI177" s="99"/>
      <c r="AJ177" s="99"/>
      <c r="AK177" s="99"/>
      <c r="AL177" s="99"/>
      <c r="AM177" s="99"/>
      <c r="AN177" s="99"/>
      <c r="AO177" s="99"/>
      <c r="AP177" s="99"/>
      <c r="AQ177" s="99"/>
      <c r="AR177" s="99"/>
      <c r="AS177" s="99"/>
      <c r="AT177" s="99"/>
      <c r="AU177" s="99"/>
      <c r="AV177" s="99"/>
      <c r="AW177" s="99"/>
      <c r="AX177" s="99"/>
      <c r="AY177" s="99"/>
      <c r="AZ177" s="99"/>
      <c r="BA177" s="99"/>
      <c r="BB177" s="99"/>
      <c r="BC177" s="99"/>
      <c r="BD177" s="99"/>
      <c r="BE177" s="99"/>
      <c r="BF177" s="99"/>
      <c r="BG177" s="99"/>
      <c r="BH177" s="99"/>
      <c r="BI177" s="99"/>
      <c r="BJ177" s="99"/>
      <c r="BK177" s="99"/>
      <c r="BL177" s="99"/>
      <c r="BM177" s="99"/>
      <c r="BN177" s="99"/>
      <c r="BO177" s="99"/>
      <c r="BP177" s="99"/>
      <c r="BQ177" s="99"/>
      <c r="BR177" s="99"/>
      <c r="BS177" s="99"/>
      <c r="BT177" s="99"/>
      <c r="BU177" s="99"/>
      <c r="BV177" s="99"/>
      <c r="BW177" s="99"/>
      <c r="BX177" s="99"/>
      <c r="BY177" s="99"/>
      <c r="BZ177" s="99"/>
      <c r="CA177" s="99"/>
      <c r="CB177" s="99"/>
      <c r="CC177" s="99"/>
      <c r="CD177" s="99"/>
      <c r="CE177" s="99"/>
      <c r="CF177" s="99"/>
      <c r="CG177" s="99"/>
      <c r="CH177" s="99"/>
      <c r="CI177" s="99"/>
      <c r="CJ177" s="99"/>
      <c r="CK177" s="99"/>
      <c r="CL177" s="99"/>
      <c r="CM177" s="99"/>
      <c r="CN177" s="99"/>
      <c r="CO177" s="99"/>
      <c r="CP177" s="99"/>
      <c r="CQ177" s="99"/>
      <c r="CR177" s="99"/>
      <c r="CS177" s="99"/>
      <c r="CT177" s="99"/>
      <c r="CU177" s="99"/>
      <c r="CV177" s="99"/>
      <c r="CW177" s="99"/>
      <c r="CX177" s="99"/>
      <c r="CY177" s="99"/>
      <c r="CZ177" s="99"/>
      <c r="DA177" s="99"/>
      <c r="DB177" s="99"/>
      <c r="DC177" s="99"/>
      <c r="DD177" s="99"/>
      <c r="DE177" s="99"/>
      <c r="DF177" s="99"/>
      <c r="DG177" s="99"/>
      <c r="DH177" s="99"/>
      <c r="DI177" s="99"/>
      <c r="DJ177" s="99"/>
      <c r="DK177" s="99"/>
      <c r="DL177" s="99"/>
      <c r="DM177" s="99"/>
      <c r="DN177" s="99"/>
      <c r="DO177" s="99"/>
      <c r="DP177" s="99"/>
      <c r="DQ177" s="99"/>
      <c r="DR177" s="99"/>
      <c r="DS177" s="99"/>
      <c r="DT177" s="99"/>
      <c r="DU177" s="99"/>
      <c r="DV177" s="99"/>
      <c r="DW177" s="99"/>
      <c r="DX177" s="99"/>
      <c r="DY177" s="99"/>
      <c r="DZ177" s="99"/>
      <c r="EA177" s="99"/>
      <c r="EB177" s="99"/>
      <c r="EC177" s="99"/>
      <c r="ED177" s="99"/>
      <c r="EE177" s="99"/>
      <c r="EF177" s="99"/>
      <c r="EG177" s="99"/>
      <c r="EH177" s="99"/>
      <c r="EI177" s="99"/>
      <c r="EJ177" s="99"/>
      <c r="EK177" s="67"/>
      <c r="EL177" s="67"/>
      <c r="EM177" s="67"/>
      <c r="EN177" s="67"/>
      <c r="EO177" s="67"/>
      <c r="EP177" s="67"/>
      <c r="EQ177" s="67"/>
      <c r="ER177" s="67"/>
      <c r="ES177" s="67"/>
      <c r="ET177" s="67"/>
      <c r="EU177" s="67"/>
      <c r="EV177" s="67"/>
      <c r="EW177" s="67"/>
      <c r="EX177" s="67"/>
      <c r="EY177" s="67"/>
      <c r="EZ177" s="67"/>
    </row>
    <row r="178" spans="1:156">
      <c r="B178" s="500" t="s">
        <v>98</v>
      </c>
      <c r="C178" s="499" t="str">
        <f t="shared" ref="C178:AH178" si="11">IF(C159=1, C$151/C$156, "")</f>
        <v/>
      </c>
      <c r="D178" s="499">
        <f t="shared" si="11"/>
        <v>0</v>
      </c>
      <c r="E178" s="499">
        <f t="shared" si="11"/>
        <v>143014.5</v>
      </c>
      <c r="F178" s="499">
        <f t="shared" si="11"/>
        <v>134</v>
      </c>
      <c r="G178" s="499" t="str">
        <f t="shared" si="11"/>
        <v/>
      </c>
      <c r="H178" s="499">
        <f t="shared" si="11"/>
        <v>17291.6875</v>
      </c>
      <c r="I178" s="499">
        <f t="shared" si="11"/>
        <v>25823.333333333332</v>
      </c>
      <c r="J178" s="499">
        <f t="shared" si="11"/>
        <v>54649</v>
      </c>
      <c r="K178" s="499" t="str">
        <f t="shared" si="11"/>
        <v/>
      </c>
      <c r="L178" s="499" t="str">
        <f t="shared" si="11"/>
        <v/>
      </c>
      <c r="M178" s="499">
        <f t="shared" si="11"/>
        <v>0</v>
      </c>
      <c r="N178" s="499" t="str">
        <f t="shared" si="11"/>
        <v/>
      </c>
      <c r="O178" s="499" t="str">
        <f t="shared" si="11"/>
        <v/>
      </c>
      <c r="P178" s="499" t="str">
        <f t="shared" si="11"/>
        <v/>
      </c>
      <c r="Q178" s="499" t="str">
        <f t="shared" si="11"/>
        <v/>
      </c>
      <c r="R178" s="499">
        <f t="shared" si="11"/>
        <v>0</v>
      </c>
      <c r="S178" s="499" t="str">
        <f t="shared" si="11"/>
        <v/>
      </c>
      <c r="T178" s="499" t="str">
        <f t="shared" si="11"/>
        <v/>
      </c>
      <c r="U178" s="499" t="str">
        <f t="shared" si="11"/>
        <v/>
      </c>
      <c r="V178" s="499" t="str">
        <f t="shared" si="11"/>
        <v/>
      </c>
      <c r="W178" s="499">
        <f t="shared" si="11"/>
        <v>0</v>
      </c>
      <c r="X178" s="499">
        <f t="shared" si="11"/>
        <v>440917.5</v>
      </c>
      <c r="Y178" s="499">
        <f t="shared" si="11"/>
        <v>0</v>
      </c>
      <c r="Z178" s="499" t="str">
        <f t="shared" si="11"/>
        <v/>
      </c>
      <c r="AA178" s="499" t="str">
        <f t="shared" si="11"/>
        <v/>
      </c>
      <c r="AB178" s="499" t="str">
        <f t="shared" si="11"/>
        <v/>
      </c>
      <c r="AC178" s="499" t="str">
        <f t="shared" si="11"/>
        <v/>
      </c>
      <c r="AD178" s="499" t="str">
        <f t="shared" si="11"/>
        <v/>
      </c>
      <c r="AE178" s="499" t="str">
        <f t="shared" si="11"/>
        <v/>
      </c>
      <c r="AF178" s="499" t="str">
        <f t="shared" si="11"/>
        <v/>
      </c>
      <c r="AG178" s="499" t="str">
        <f t="shared" si="11"/>
        <v/>
      </c>
      <c r="AH178" s="499">
        <f t="shared" si="11"/>
        <v>0</v>
      </c>
      <c r="AI178" s="499" t="str">
        <f t="shared" ref="AI178:BN178" si="12">IF(AI159=1, AI$151/AI$156, "")</f>
        <v/>
      </c>
      <c r="AJ178" s="499">
        <f t="shared" si="12"/>
        <v>0</v>
      </c>
      <c r="AK178" s="499" t="str">
        <f t="shared" si="12"/>
        <v/>
      </c>
      <c r="AL178" s="499" t="str">
        <f t="shared" si="12"/>
        <v/>
      </c>
      <c r="AM178" s="499" t="str">
        <f t="shared" si="12"/>
        <v/>
      </c>
      <c r="AN178" s="499">
        <f t="shared" si="12"/>
        <v>10362.618571428571</v>
      </c>
      <c r="AO178" s="499" t="str">
        <f t="shared" si="12"/>
        <v/>
      </c>
      <c r="AP178" s="499" t="str">
        <f t="shared" si="12"/>
        <v/>
      </c>
      <c r="AQ178" s="499" t="str">
        <f t="shared" si="12"/>
        <v/>
      </c>
      <c r="AR178" s="499" t="str">
        <f t="shared" si="12"/>
        <v/>
      </c>
      <c r="AS178" s="499" t="str">
        <f t="shared" si="12"/>
        <v/>
      </c>
      <c r="AT178" s="499" t="str">
        <f t="shared" si="12"/>
        <v/>
      </c>
      <c r="AU178" s="499" t="str">
        <f t="shared" si="12"/>
        <v/>
      </c>
      <c r="AV178" s="499" t="str">
        <f t="shared" si="12"/>
        <v/>
      </c>
      <c r="AW178" s="499">
        <f t="shared" si="12"/>
        <v>1102.5</v>
      </c>
      <c r="AX178" s="499" t="str">
        <f t="shared" si="12"/>
        <v/>
      </c>
      <c r="AY178" s="499">
        <f t="shared" si="12"/>
        <v>20249.5</v>
      </c>
      <c r="AZ178" s="499">
        <f t="shared" si="12"/>
        <v>0</v>
      </c>
      <c r="BA178" s="499">
        <f t="shared" si="12"/>
        <v>2857.1428571428573</v>
      </c>
      <c r="BB178" s="499">
        <f t="shared" si="12"/>
        <v>5745.75</v>
      </c>
      <c r="BC178" s="499" t="str">
        <f t="shared" si="12"/>
        <v/>
      </c>
      <c r="BD178" s="499" t="str">
        <f t="shared" si="12"/>
        <v/>
      </c>
      <c r="BE178" s="499" t="str">
        <f t="shared" si="12"/>
        <v/>
      </c>
      <c r="BF178" s="499" t="str">
        <f t="shared" si="12"/>
        <v/>
      </c>
      <c r="BG178" s="499" t="str">
        <f t="shared" si="12"/>
        <v/>
      </c>
      <c r="BH178" s="499" t="str">
        <f t="shared" si="12"/>
        <v/>
      </c>
      <c r="BI178" s="499" t="str">
        <f t="shared" si="12"/>
        <v/>
      </c>
      <c r="BJ178" s="499" t="str">
        <f t="shared" si="12"/>
        <v/>
      </c>
      <c r="BK178" s="499">
        <f t="shared" si="12"/>
        <v>0</v>
      </c>
      <c r="BL178" s="499" t="str">
        <f t="shared" si="12"/>
        <v/>
      </c>
      <c r="BM178" s="499" t="str">
        <f t="shared" si="12"/>
        <v/>
      </c>
      <c r="BN178" s="499" t="str">
        <f t="shared" si="12"/>
        <v/>
      </c>
      <c r="BO178" s="499" t="str">
        <f t="shared" ref="BO178:CT178" si="13">IF(BO159=1, BO$151/BO$156, "")</f>
        <v/>
      </c>
      <c r="BP178" s="499">
        <f t="shared" si="13"/>
        <v>0</v>
      </c>
      <c r="BQ178" s="499" t="str">
        <f t="shared" si="13"/>
        <v/>
      </c>
      <c r="BR178" s="499" t="str">
        <f t="shared" si="13"/>
        <v/>
      </c>
      <c r="BS178" s="499" t="str">
        <f t="shared" si="13"/>
        <v/>
      </c>
      <c r="BT178" s="499">
        <f t="shared" si="13"/>
        <v>0</v>
      </c>
      <c r="BU178" s="499" t="str">
        <f t="shared" si="13"/>
        <v/>
      </c>
      <c r="BV178" s="499" t="str">
        <f t="shared" si="13"/>
        <v/>
      </c>
      <c r="BW178" s="499" t="str">
        <f t="shared" si="13"/>
        <v/>
      </c>
      <c r="BX178" s="499" t="str">
        <f t="shared" si="13"/>
        <v/>
      </c>
      <c r="BY178" s="499">
        <f t="shared" si="13"/>
        <v>151</v>
      </c>
      <c r="BZ178" s="499" t="str">
        <f t="shared" si="13"/>
        <v/>
      </c>
      <c r="CA178" s="499" t="str">
        <f t="shared" si="13"/>
        <v/>
      </c>
      <c r="CB178" s="499">
        <f t="shared" si="13"/>
        <v>142.85714285714286</v>
      </c>
      <c r="CC178" s="499" t="str">
        <f t="shared" si="13"/>
        <v/>
      </c>
      <c r="CD178" s="499" t="str">
        <f t="shared" si="13"/>
        <v/>
      </c>
      <c r="CE178" s="499" t="str">
        <f t="shared" si="13"/>
        <v/>
      </c>
      <c r="CF178" s="499" t="str">
        <f t="shared" si="13"/>
        <v/>
      </c>
      <c r="CG178" s="499" t="str">
        <f t="shared" si="13"/>
        <v/>
      </c>
      <c r="CH178" s="499" t="str">
        <f t="shared" si="13"/>
        <v/>
      </c>
      <c r="CI178" s="499" t="str">
        <f t="shared" si="13"/>
        <v/>
      </c>
      <c r="CJ178" s="499">
        <f t="shared" si="13"/>
        <v>0</v>
      </c>
      <c r="CK178" s="499">
        <f t="shared" si="13"/>
        <v>76074.444444444438</v>
      </c>
      <c r="CL178" s="499" t="str">
        <f t="shared" si="13"/>
        <v/>
      </c>
      <c r="CM178" s="499" t="str">
        <f t="shared" si="13"/>
        <v/>
      </c>
      <c r="CN178" s="499" t="str">
        <f t="shared" si="13"/>
        <v/>
      </c>
      <c r="CO178" s="499" t="str">
        <f t="shared" si="13"/>
        <v/>
      </c>
      <c r="CP178" s="499">
        <f t="shared" si="13"/>
        <v>0</v>
      </c>
      <c r="CQ178" s="499" t="str">
        <f t="shared" si="13"/>
        <v/>
      </c>
      <c r="CR178" s="499" t="str">
        <f t="shared" si="13"/>
        <v/>
      </c>
      <c r="CS178" s="499" t="str">
        <f t="shared" si="13"/>
        <v/>
      </c>
      <c r="CT178" s="499">
        <f t="shared" si="13"/>
        <v>0</v>
      </c>
      <c r="CU178" s="499" t="str">
        <f t="shared" ref="CU178:DZ178" si="14">IF(CU159=1, CU$151/CU$156, "")</f>
        <v/>
      </c>
      <c r="CV178" s="499">
        <f t="shared" si="14"/>
        <v>2061.875</v>
      </c>
      <c r="CW178" s="499" t="str">
        <f t="shared" si="14"/>
        <v/>
      </c>
      <c r="CX178" s="499">
        <f t="shared" si="14"/>
        <v>17277.327666666664</v>
      </c>
      <c r="CY178" s="499">
        <f t="shared" si="14"/>
        <v>225.66666666666666</v>
      </c>
      <c r="CZ178" s="499">
        <f t="shared" si="14"/>
        <v>0</v>
      </c>
      <c r="DA178" s="499">
        <f t="shared" si="14"/>
        <v>73500</v>
      </c>
      <c r="DB178" s="499" t="str">
        <f t="shared" si="14"/>
        <v/>
      </c>
      <c r="DC178" s="499">
        <f t="shared" si="14"/>
        <v>43123.9375</v>
      </c>
      <c r="DD178" s="499">
        <f t="shared" si="14"/>
        <v>542690.33333333337</v>
      </c>
      <c r="DE178" s="499">
        <f t="shared" si="14"/>
        <v>570383.32615384622</v>
      </c>
      <c r="DF178" s="499" t="str">
        <f t="shared" si="14"/>
        <v/>
      </c>
      <c r="DG178" s="499" t="str">
        <f t="shared" si="14"/>
        <v/>
      </c>
      <c r="DH178" s="499">
        <f t="shared" si="14"/>
        <v>0</v>
      </c>
      <c r="DI178" s="499" t="str">
        <f t="shared" si="14"/>
        <v/>
      </c>
      <c r="DJ178" s="499" t="str">
        <f t="shared" si="14"/>
        <v/>
      </c>
      <c r="DK178" s="499">
        <f t="shared" si="14"/>
        <v>0</v>
      </c>
      <c r="DL178" s="499" t="str">
        <f t="shared" si="14"/>
        <v/>
      </c>
      <c r="DM178" s="499" t="str">
        <f t="shared" si="14"/>
        <v/>
      </c>
      <c r="DN178" s="499" t="str">
        <f t="shared" si="14"/>
        <v/>
      </c>
      <c r="DO178" s="499" t="str">
        <f t="shared" si="14"/>
        <v/>
      </c>
      <c r="DP178" s="499" t="str">
        <f t="shared" si="14"/>
        <v/>
      </c>
      <c r="DQ178" s="499" t="str">
        <f t="shared" si="14"/>
        <v/>
      </c>
      <c r="DR178" s="499">
        <f t="shared" si="14"/>
        <v>0</v>
      </c>
      <c r="DS178" s="499">
        <f t="shared" si="14"/>
        <v>88750</v>
      </c>
      <c r="DT178" s="499" t="str">
        <f t="shared" si="14"/>
        <v/>
      </c>
      <c r="DU178" s="499" t="str">
        <f t="shared" si="14"/>
        <v/>
      </c>
      <c r="DV178" s="499" t="str">
        <f t="shared" si="14"/>
        <v/>
      </c>
      <c r="DW178" s="499" t="str">
        <f t="shared" si="14"/>
        <v/>
      </c>
      <c r="DX178" s="499">
        <f t="shared" si="14"/>
        <v>1380000</v>
      </c>
      <c r="DY178" s="499" t="str">
        <f t="shared" si="14"/>
        <v/>
      </c>
      <c r="DZ178" s="499" t="str">
        <f t="shared" si="14"/>
        <v/>
      </c>
      <c r="EA178" s="499" t="str">
        <f t="shared" ref="EA178:EI178" si="15">IF(EA159=1, EA$151/EA$156, "")</f>
        <v/>
      </c>
      <c r="EB178" s="499" t="str">
        <f t="shared" si="15"/>
        <v/>
      </c>
      <c r="EC178" s="499" t="str">
        <f t="shared" si="15"/>
        <v/>
      </c>
      <c r="ED178" s="499" t="str">
        <f t="shared" si="15"/>
        <v/>
      </c>
      <c r="EE178" s="499">
        <f t="shared" si="15"/>
        <v>0</v>
      </c>
      <c r="EF178" s="499" t="str">
        <f t="shared" si="15"/>
        <v/>
      </c>
      <c r="EG178" s="499" t="str">
        <f t="shared" si="15"/>
        <v/>
      </c>
      <c r="EH178" s="499" t="str">
        <f t="shared" si="15"/>
        <v/>
      </c>
      <c r="EI178" s="499" t="str">
        <f t="shared" si="15"/>
        <v/>
      </c>
      <c r="EJ178" s="499">
        <f t="shared" ref="EJ178:EJ194" si="16">SUM(C178:EI178)</f>
        <v>3516528.3001697194</v>
      </c>
      <c r="EK178" s="67"/>
      <c r="EL178" s="67"/>
      <c r="EM178" s="67"/>
      <c r="EN178" s="67"/>
      <c r="EO178" s="67"/>
      <c r="EP178" s="67"/>
      <c r="EQ178" s="67"/>
      <c r="ER178" s="67"/>
      <c r="ES178" s="67"/>
      <c r="ET178" s="67"/>
      <c r="EU178" s="67"/>
      <c r="EV178" s="67"/>
      <c r="EW178" s="67"/>
      <c r="EX178" s="67"/>
      <c r="EY178" s="67"/>
      <c r="EZ178" s="67"/>
    </row>
    <row r="179" spans="1:156">
      <c r="B179" s="500" t="s">
        <v>92</v>
      </c>
      <c r="C179" s="499">
        <f t="shared" ref="C179:AH179" si="17">IF(C160=1, C$151/C$156, "")</f>
        <v>0</v>
      </c>
      <c r="D179" s="499" t="str">
        <f t="shared" si="17"/>
        <v/>
      </c>
      <c r="E179" s="499" t="str">
        <f t="shared" si="17"/>
        <v/>
      </c>
      <c r="F179" s="499">
        <f t="shared" si="17"/>
        <v>134</v>
      </c>
      <c r="G179" s="499" t="str">
        <f t="shared" si="17"/>
        <v/>
      </c>
      <c r="H179" s="499">
        <f t="shared" si="17"/>
        <v>17291.6875</v>
      </c>
      <c r="I179" s="499">
        <f t="shared" si="17"/>
        <v>25823.333333333332</v>
      </c>
      <c r="J179" s="499">
        <f t="shared" si="17"/>
        <v>54649</v>
      </c>
      <c r="K179" s="499" t="str">
        <f t="shared" si="17"/>
        <v/>
      </c>
      <c r="L179" s="499" t="str">
        <f t="shared" si="17"/>
        <v/>
      </c>
      <c r="M179" s="499" t="str">
        <f t="shared" si="17"/>
        <v/>
      </c>
      <c r="N179" s="499" t="str">
        <f t="shared" si="17"/>
        <v/>
      </c>
      <c r="O179" s="499" t="str">
        <f t="shared" si="17"/>
        <v/>
      </c>
      <c r="P179" s="499" t="str">
        <f t="shared" si="17"/>
        <v/>
      </c>
      <c r="Q179" s="499" t="str">
        <f t="shared" si="17"/>
        <v/>
      </c>
      <c r="R179" s="499">
        <f t="shared" si="17"/>
        <v>0</v>
      </c>
      <c r="S179" s="499" t="str">
        <f t="shared" si="17"/>
        <v/>
      </c>
      <c r="T179" s="499" t="str">
        <f t="shared" si="17"/>
        <v/>
      </c>
      <c r="U179" s="499" t="str">
        <f t="shared" si="17"/>
        <v/>
      </c>
      <c r="V179" s="499" t="str">
        <f t="shared" si="17"/>
        <v/>
      </c>
      <c r="W179" s="499">
        <f t="shared" si="17"/>
        <v>0</v>
      </c>
      <c r="X179" s="499">
        <f t="shared" si="17"/>
        <v>440917.5</v>
      </c>
      <c r="Y179" s="499">
        <f t="shared" si="17"/>
        <v>0</v>
      </c>
      <c r="Z179" s="499" t="str">
        <f t="shared" si="17"/>
        <v/>
      </c>
      <c r="AA179" s="499" t="str">
        <f t="shared" si="17"/>
        <v/>
      </c>
      <c r="AB179" s="499" t="str">
        <f t="shared" si="17"/>
        <v/>
      </c>
      <c r="AC179" s="499">
        <f t="shared" si="17"/>
        <v>150000</v>
      </c>
      <c r="AD179" s="499" t="str">
        <f t="shared" si="17"/>
        <v/>
      </c>
      <c r="AE179" s="499" t="str">
        <f t="shared" si="17"/>
        <v/>
      </c>
      <c r="AF179" s="499" t="str">
        <f t="shared" si="17"/>
        <v/>
      </c>
      <c r="AG179" s="499" t="str">
        <f t="shared" si="17"/>
        <v/>
      </c>
      <c r="AH179" s="499">
        <f t="shared" si="17"/>
        <v>0</v>
      </c>
      <c r="AI179" s="499" t="str">
        <f t="shared" ref="AI179:BN179" si="18">IF(AI160=1, AI$151/AI$156, "")</f>
        <v/>
      </c>
      <c r="AJ179" s="499">
        <f t="shared" si="18"/>
        <v>0</v>
      </c>
      <c r="AK179" s="499" t="str">
        <f t="shared" si="18"/>
        <v/>
      </c>
      <c r="AL179" s="499" t="str">
        <f t="shared" si="18"/>
        <v/>
      </c>
      <c r="AM179" s="499" t="str">
        <f t="shared" si="18"/>
        <v/>
      </c>
      <c r="AN179" s="499">
        <f t="shared" si="18"/>
        <v>10362.618571428571</v>
      </c>
      <c r="AO179" s="499" t="str">
        <f t="shared" si="18"/>
        <v/>
      </c>
      <c r="AP179" s="499" t="str">
        <f t="shared" si="18"/>
        <v/>
      </c>
      <c r="AQ179" s="499" t="str">
        <f t="shared" si="18"/>
        <v/>
      </c>
      <c r="AR179" s="499" t="str">
        <f t="shared" si="18"/>
        <v/>
      </c>
      <c r="AS179" s="499" t="str">
        <f t="shared" si="18"/>
        <v/>
      </c>
      <c r="AT179" s="499" t="str">
        <f t="shared" si="18"/>
        <v/>
      </c>
      <c r="AU179" s="499" t="str">
        <f t="shared" si="18"/>
        <v/>
      </c>
      <c r="AV179" s="499" t="str">
        <f t="shared" si="18"/>
        <v/>
      </c>
      <c r="AW179" s="499" t="str">
        <f t="shared" si="18"/>
        <v/>
      </c>
      <c r="AX179" s="499" t="str">
        <f t="shared" si="18"/>
        <v/>
      </c>
      <c r="AY179" s="499">
        <f t="shared" si="18"/>
        <v>20249.5</v>
      </c>
      <c r="AZ179" s="499">
        <f t="shared" si="18"/>
        <v>0</v>
      </c>
      <c r="BA179" s="499">
        <f t="shared" si="18"/>
        <v>2857.1428571428573</v>
      </c>
      <c r="BB179" s="499">
        <f t="shared" si="18"/>
        <v>5745.75</v>
      </c>
      <c r="BC179" s="499" t="str">
        <f t="shared" si="18"/>
        <v/>
      </c>
      <c r="BD179" s="499" t="str">
        <f t="shared" si="18"/>
        <v/>
      </c>
      <c r="BE179" s="499">
        <f t="shared" si="18"/>
        <v>0</v>
      </c>
      <c r="BF179" s="499" t="str">
        <f t="shared" si="18"/>
        <v/>
      </c>
      <c r="BG179" s="499">
        <f t="shared" si="18"/>
        <v>0</v>
      </c>
      <c r="BH179" s="499" t="str">
        <f t="shared" si="18"/>
        <v/>
      </c>
      <c r="BI179" s="499" t="str">
        <f t="shared" si="18"/>
        <v/>
      </c>
      <c r="BJ179" s="499" t="str">
        <f t="shared" si="18"/>
        <v/>
      </c>
      <c r="BK179" s="499">
        <f t="shared" si="18"/>
        <v>0</v>
      </c>
      <c r="BL179" s="499" t="str">
        <f t="shared" si="18"/>
        <v/>
      </c>
      <c r="BM179" s="499">
        <f t="shared" si="18"/>
        <v>0</v>
      </c>
      <c r="BN179" s="499" t="str">
        <f t="shared" si="18"/>
        <v/>
      </c>
      <c r="BO179" s="499" t="str">
        <f t="shared" ref="BO179:CT179" si="19">IF(BO160=1, BO$151/BO$156, "")</f>
        <v/>
      </c>
      <c r="BP179" s="499">
        <f t="shared" si="19"/>
        <v>0</v>
      </c>
      <c r="BQ179" s="499" t="str">
        <f t="shared" si="19"/>
        <v/>
      </c>
      <c r="BR179" s="499" t="str">
        <f t="shared" si="19"/>
        <v/>
      </c>
      <c r="BS179" s="499" t="str">
        <f t="shared" si="19"/>
        <v/>
      </c>
      <c r="BT179" s="499">
        <f t="shared" si="19"/>
        <v>0</v>
      </c>
      <c r="BU179" s="499" t="str">
        <f t="shared" si="19"/>
        <v/>
      </c>
      <c r="BV179" s="499" t="str">
        <f t="shared" si="19"/>
        <v/>
      </c>
      <c r="BW179" s="499" t="str">
        <f t="shared" si="19"/>
        <v/>
      </c>
      <c r="BX179" s="499" t="str">
        <f t="shared" si="19"/>
        <v/>
      </c>
      <c r="BY179" s="499">
        <f t="shared" si="19"/>
        <v>151</v>
      </c>
      <c r="BZ179" s="499" t="str">
        <f t="shared" si="19"/>
        <v/>
      </c>
      <c r="CA179" s="499">
        <f t="shared" si="19"/>
        <v>0</v>
      </c>
      <c r="CB179" s="499">
        <f t="shared" si="19"/>
        <v>142.85714285714286</v>
      </c>
      <c r="CC179" s="499" t="str">
        <f t="shared" si="19"/>
        <v/>
      </c>
      <c r="CD179" s="499" t="str">
        <f t="shared" si="19"/>
        <v/>
      </c>
      <c r="CE179" s="499" t="str">
        <f t="shared" si="19"/>
        <v/>
      </c>
      <c r="CF179" s="499" t="str">
        <f t="shared" si="19"/>
        <v/>
      </c>
      <c r="CG179" s="499" t="str">
        <f t="shared" si="19"/>
        <v/>
      </c>
      <c r="CH179" s="499" t="str">
        <f t="shared" si="19"/>
        <v/>
      </c>
      <c r="CI179" s="499" t="str">
        <f t="shared" si="19"/>
        <v/>
      </c>
      <c r="CJ179" s="499">
        <f t="shared" si="19"/>
        <v>0</v>
      </c>
      <c r="CK179" s="499" t="str">
        <f t="shared" si="19"/>
        <v/>
      </c>
      <c r="CL179" s="499">
        <f t="shared" si="19"/>
        <v>73.2</v>
      </c>
      <c r="CM179" s="499" t="str">
        <f t="shared" si="19"/>
        <v/>
      </c>
      <c r="CN179" s="499" t="str">
        <f t="shared" si="19"/>
        <v/>
      </c>
      <c r="CO179" s="499" t="str">
        <f t="shared" si="19"/>
        <v/>
      </c>
      <c r="CP179" s="499">
        <f t="shared" si="19"/>
        <v>0</v>
      </c>
      <c r="CQ179" s="499" t="str">
        <f t="shared" si="19"/>
        <v/>
      </c>
      <c r="CR179" s="499" t="str">
        <f t="shared" si="19"/>
        <v/>
      </c>
      <c r="CS179" s="499" t="str">
        <f t="shared" si="19"/>
        <v/>
      </c>
      <c r="CT179" s="499" t="str">
        <f t="shared" si="19"/>
        <v/>
      </c>
      <c r="CU179" s="499" t="str">
        <f t="shared" ref="CU179:DZ179" si="20">IF(CU160=1, CU$151/CU$156, "")</f>
        <v/>
      </c>
      <c r="CV179" s="499" t="str">
        <f t="shared" si="20"/>
        <v/>
      </c>
      <c r="CW179" s="499" t="str">
        <f t="shared" si="20"/>
        <v/>
      </c>
      <c r="CX179" s="499">
        <f t="shared" si="20"/>
        <v>17277.327666666664</v>
      </c>
      <c r="CY179" s="499">
        <f t="shared" si="20"/>
        <v>225.66666666666666</v>
      </c>
      <c r="CZ179" s="499">
        <f t="shared" si="20"/>
        <v>0</v>
      </c>
      <c r="DA179" s="499">
        <f t="shared" si="20"/>
        <v>73500</v>
      </c>
      <c r="DB179" s="499" t="str">
        <f t="shared" si="20"/>
        <v/>
      </c>
      <c r="DC179" s="499">
        <f t="shared" si="20"/>
        <v>43123.9375</v>
      </c>
      <c r="DD179" s="499" t="str">
        <f t="shared" si="20"/>
        <v/>
      </c>
      <c r="DE179" s="499">
        <f t="shared" si="20"/>
        <v>570383.32615384622</v>
      </c>
      <c r="DF179" s="499" t="str">
        <f t="shared" si="20"/>
        <v/>
      </c>
      <c r="DG179" s="499" t="str">
        <f t="shared" si="20"/>
        <v/>
      </c>
      <c r="DH179" s="499">
        <f t="shared" si="20"/>
        <v>0</v>
      </c>
      <c r="DI179" s="499" t="str">
        <f t="shared" si="20"/>
        <v/>
      </c>
      <c r="DJ179" s="499" t="str">
        <f t="shared" si="20"/>
        <v/>
      </c>
      <c r="DK179" s="499">
        <f t="shared" si="20"/>
        <v>0</v>
      </c>
      <c r="DL179" s="499" t="str">
        <f t="shared" si="20"/>
        <v/>
      </c>
      <c r="DM179" s="499" t="str">
        <f t="shared" si="20"/>
        <v/>
      </c>
      <c r="DN179" s="499" t="str">
        <f t="shared" si="20"/>
        <v/>
      </c>
      <c r="DO179" s="499" t="str">
        <f t="shared" si="20"/>
        <v/>
      </c>
      <c r="DP179" s="499" t="str">
        <f t="shared" si="20"/>
        <v/>
      </c>
      <c r="DQ179" s="499" t="str">
        <f t="shared" si="20"/>
        <v/>
      </c>
      <c r="DR179" s="499" t="str">
        <f t="shared" si="20"/>
        <v/>
      </c>
      <c r="DS179" s="499" t="str">
        <f t="shared" si="20"/>
        <v/>
      </c>
      <c r="DT179" s="499" t="str">
        <f t="shared" si="20"/>
        <v/>
      </c>
      <c r="DU179" s="499" t="str">
        <f t="shared" si="20"/>
        <v/>
      </c>
      <c r="DV179" s="499" t="str">
        <f t="shared" si="20"/>
        <v/>
      </c>
      <c r="DW179" s="499" t="str">
        <f t="shared" si="20"/>
        <v/>
      </c>
      <c r="DX179" s="499" t="str">
        <f t="shared" si="20"/>
        <v/>
      </c>
      <c r="DY179" s="499" t="str">
        <f t="shared" si="20"/>
        <v/>
      </c>
      <c r="DZ179" s="499" t="str">
        <f t="shared" si="20"/>
        <v/>
      </c>
      <c r="EA179" s="499">
        <f t="shared" ref="EA179:EI179" si="21">IF(EA160=1, EA$151/EA$156, "")</f>
        <v>0</v>
      </c>
      <c r="EB179" s="499" t="str">
        <f t="shared" si="21"/>
        <v/>
      </c>
      <c r="EC179" s="499" t="str">
        <f t="shared" si="21"/>
        <v/>
      </c>
      <c r="ED179" s="499" t="str">
        <f t="shared" si="21"/>
        <v/>
      </c>
      <c r="EE179" s="499" t="str">
        <f t="shared" si="21"/>
        <v/>
      </c>
      <c r="EF179" s="499" t="str">
        <f t="shared" si="21"/>
        <v/>
      </c>
      <c r="EG179" s="499" t="str">
        <f t="shared" si="21"/>
        <v/>
      </c>
      <c r="EH179" s="499" t="str">
        <f t="shared" si="21"/>
        <v/>
      </c>
      <c r="EI179" s="499" t="str">
        <f t="shared" si="21"/>
        <v/>
      </c>
      <c r="EJ179" s="499">
        <f t="shared" si="16"/>
        <v>1432907.8473919416</v>
      </c>
      <c r="EK179" s="67"/>
      <c r="EL179" s="67"/>
      <c r="EM179" s="67"/>
      <c r="EN179" s="67"/>
      <c r="EO179" s="67"/>
      <c r="EP179" s="67"/>
      <c r="EQ179" s="67"/>
      <c r="ER179" s="67"/>
      <c r="ES179" s="67"/>
      <c r="ET179" s="67"/>
      <c r="EU179" s="67"/>
      <c r="EV179" s="67"/>
      <c r="EW179" s="67"/>
      <c r="EX179" s="67"/>
      <c r="EY179" s="67"/>
      <c r="EZ179" s="67"/>
    </row>
    <row r="180" spans="1:156">
      <c r="B180" s="500" t="s">
        <v>97</v>
      </c>
      <c r="C180" s="499">
        <f t="shared" ref="C180:AH180" si="22">IF(C161=1, C$151/C$156, "")</f>
        <v>0</v>
      </c>
      <c r="D180" s="499" t="str">
        <f t="shared" si="22"/>
        <v/>
      </c>
      <c r="E180" s="499" t="str">
        <f t="shared" si="22"/>
        <v/>
      </c>
      <c r="F180" s="499" t="str">
        <f t="shared" si="22"/>
        <v/>
      </c>
      <c r="G180" s="499" t="str">
        <f t="shared" si="22"/>
        <v/>
      </c>
      <c r="H180" s="499">
        <f t="shared" si="22"/>
        <v>17291.6875</v>
      </c>
      <c r="I180" s="499" t="str">
        <f t="shared" si="22"/>
        <v/>
      </c>
      <c r="J180" s="499" t="str">
        <f t="shared" si="22"/>
        <v/>
      </c>
      <c r="K180" s="499">
        <f t="shared" si="22"/>
        <v>0</v>
      </c>
      <c r="L180" s="499">
        <f t="shared" si="22"/>
        <v>0</v>
      </c>
      <c r="M180" s="499" t="str">
        <f t="shared" si="22"/>
        <v/>
      </c>
      <c r="N180" s="499" t="str">
        <f t="shared" si="22"/>
        <v/>
      </c>
      <c r="O180" s="499" t="str">
        <f t="shared" si="22"/>
        <v/>
      </c>
      <c r="P180" s="499" t="str">
        <f t="shared" si="22"/>
        <v/>
      </c>
      <c r="Q180" s="499">
        <f t="shared" si="22"/>
        <v>79856.5</v>
      </c>
      <c r="R180" s="499" t="str">
        <f t="shared" si="22"/>
        <v/>
      </c>
      <c r="S180" s="499" t="str">
        <f t="shared" si="22"/>
        <v/>
      </c>
      <c r="T180" s="499" t="str">
        <f t="shared" si="22"/>
        <v/>
      </c>
      <c r="U180" s="499" t="str">
        <f t="shared" si="22"/>
        <v/>
      </c>
      <c r="V180" s="499">
        <f t="shared" si="22"/>
        <v>0</v>
      </c>
      <c r="W180" s="499" t="str">
        <f t="shared" si="22"/>
        <v/>
      </c>
      <c r="X180" s="499">
        <f t="shared" si="22"/>
        <v>440917.5</v>
      </c>
      <c r="Y180" s="499" t="str">
        <f t="shared" si="22"/>
        <v/>
      </c>
      <c r="Z180" s="499" t="str">
        <f t="shared" si="22"/>
        <v/>
      </c>
      <c r="AA180" s="499" t="str">
        <f t="shared" si="22"/>
        <v/>
      </c>
      <c r="AB180" s="499" t="str">
        <f t="shared" si="22"/>
        <v/>
      </c>
      <c r="AC180" s="499">
        <f t="shared" si="22"/>
        <v>150000</v>
      </c>
      <c r="AD180" s="499" t="str">
        <f t="shared" si="22"/>
        <v/>
      </c>
      <c r="AE180" s="499">
        <f t="shared" si="22"/>
        <v>0</v>
      </c>
      <c r="AF180" s="499">
        <f t="shared" si="22"/>
        <v>0</v>
      </c>
      <c r="AG180" s="499" t="str">
        <f t="shared" si="22"/>
        <v/>
      </c>
      <c r="AH180" s="499">
        <f t="shared" si="22"/>
        <v>0</v>
      </c>
      <c r="AI180" s="499" t="str">
        <f t="shared" ref="AI180:BN180" si="23">IF(AI161=1, AI$151/AI$156, "")</f>
        <v/>
      </c>
      <c r="AJ180" s="499">
        <f t="shared" si="23"/>
        <v>0</v>
      </c>
      <c r="AK180" s="499" t="str">
        <f t="shared" si="23"/>
        <v/>
      </c>
      <c r="AL180" s="499" t="str">
        <f t="shared" si="23"/>
        <v/>
      </c>
      <c r="AM180" s="499" t="str">
        <f t="shared" si="23"/>
        <v/>
      </c>
      <c r="AN180" s="499">
        <f t="shared" si="23"/>
        <v>10362.618571428571</v>
      </c>
      <c r="AO180" s="499" t="str">
        <f t="shared" si="23"/>
        <v/>
      </c>
      <c r="AP180" s="499">
        <f t="shared" si="23"/>
        <v>0</v>
      </c>
      <c r="AQ180" s="499">
        <f t="shared" si="23"/>
        <v>64700</v>
      </c>
      <c r="AR180" s="499" t="str">
        <f t="shared" si="23"/>
        <v/>
      </c>
      <c r="AS180" s="499" t="str">
        <f t="shared" si="23"/>
        <v/>
      </c>
      <c r="AT180" s="499" t="str">
        <f t="shared" si="23"/>
        <v/>
      </c>
      <c r="AU180" s="499">
        <f t="shared" si="23"/>
        <v>187.375</v>
      </c>
      <c r="AV180" s="499" t="str">
        <f t="shared" si="23"/>
        <v/>
      </c>
      <c r="AW180" s="499" t="str">
        <f t="shared" si="23"/>
        <v/>
      </c>
      <c r="AX180" s="499" t="str">
        <f t="shared" si="23"/>
        <v/>
      </c>
      <c r="AY180" s="499">
        <f t="shared" si="23"/>
        <v>20249.5</v>
      </c>
      <c r="AZ180" s="499">
        <f t="shared" si="23"/>
        <v>0</v>
      </c>
      <c r="BA180" s="499">
        <f t="shared" si="23"/>
        <v>2857.1428571428573</v>
      </c>
      <c r="BB180" s="499">
        <f t="shared" si="23"/>
        <v>5745.75</v>
      </c>
      <c r="BC180" s="499" t="str">
        <f t="shared" si="23"/>
        <v/>
      </c>
      <c r="BD180" s="499" t="str">
        <f t="shared" si="23"/>
        <v/>
      </c>
      <c r="BE180" s="499" t="str">
        <f t="shared" si="23"/>
        <v/>
      </c>
      <c r="BF180" s="499" t="str">
        <f t="shared" si="23"/>
        <v/>
      </c>
      <c r="BG180" s="499" t="str">
        <f t="shared" si="23"/>
        <v/>
      </c>
      <c r="BH180" s="499">
        <f t="shared" si="23"/>
        <v>0</v>
      </c>
      <c r="BI180" s="499">
        <f t="shared" si="23"/>
        <v>0</v>
      </c>
      <c r="BJ180" s="499">
        <f t="shared" si="23"/>
        <v>0</v>
      </c>
      <c r="BK180" s="499" t="str">
        <f t="shared" si="23"/>
        <v/>
      </c>
      <c r="BL180" s="499" t="str">
        <f t="shared" si="23"/>
        <v/>
      </c>
      <c r="BM180" s="499">
        <f t="shared" si="23"/>
        <v>0</v>
      </c>
      <c r="BN180" s="499" t="str">
        <f t="shared" si="23"/>
        <v/>
      </c>
      <c r="BO180" s="499" t="str">
        <f t="shared" ref="BO180:CT180" si="24">IF(BO161=1, BO$151/BO$156, "")</f>
        <v/>
      </c>
      <c r="BP180" s="499">
        <f t="shared" si="24"/>
        <v>0</v>
      </c>
      <c r="BQ180" s="499" t="str">
        <f t="shared" si="24"/>
        <v/>
      </c>
      <c r="BR180" s="499" t="str">
        <f t="shared" si="24"/>
        <v/>
      </c>
      <c r="BS180" s="499" t="str">
        <f t="shared" si="24"/>
        <v/>
      </c>
      <c r="BT180" s="499">
        <f t="shared" si="24"/>
        <v>0</v>
      </c>
      <c r="BU180" s="499" t="str">
        <f t="shared" si="24"/>
        <v/>
      </c>
      <c r="BV180" s="499" t="str">
        <f t="shared" si="24"/>
        <v/>
      </c>
      <c r="BW180" s="499" t="str">
        <f t="shared" si="24"/>
        <v/>
      </c>
      <c r="BX180" s="499" t="str">
        <f t="shared" si="24"/>
        <v/>
      </c>
      <c r="BY180" s="499" t="str">
        <f t="shared" si="24"/>
        <v/>
      </c>
      <c r="BZ180" s="499">
        <f t="shared" si="24"/>
        <v>0</v>
      </c>
      <c r="CA180" s="499">
        <f t="shared" si="24"/>
        <v>0</v>
      </c>
      <c r="CB180" s="499">
        <f t="shared" si="24"/>
        <v>142.85714285714286</v>
      </c>
      <c r="CC180" s="499" t="str">
        <f t="shared" si="24"/>
        <v/>
      </c>
      <c r="CD180" s="499" t="str">
        <f t="shared" si="24"/>
        <v/>
      </c>
      <c r="CE180" s="499" t="str">
        <f t="shared" si="24"/>
        <v/>
      </c>
      <c r="CF180" s="499" t="str">
        <f t="shared" si="24"/>
        <v/>
      </c>
      <c r="CG180" s="499" t="str">
        <f t="shared" si="24"/>
        <v/>
      </c>
      <c r="CH180" s="499">
        <f t="shared" si="24"/>
        <v>0</v>
      </c>
      <c r="CI180" s="499" t="str">
        <f t="shared" si="24"/>
        <v/>
      </c>
      <c r="CJ180" s="499" t="str">
        <f t="shared" si="24"/>
        <v/>
      </c>
      <c r="CK180" s="499">
        <f t="shared" si="24"/>
        <v>76074.444444444438</v>
      </c>
      <c r="CL180" s="499">
        <f t="shared" si="24"/>
        <v>73.2</v>
      </c>
      <c r="CM180" s="499" t="str">
        <f t="shared" si="24"/>
        <v/>
      </c>
      <c r="CN180" s="499" t="str">
        <f t="shared" si="24"/>
        <v/>
      </c>
      <c r="CO180" s="499">
        <f t="shared" si="24"/>
        <v>0</v>
      </c>
      <c r="CP180" s="499" t="str">
        <f t="shared" si="24"/>
        <v/>
      </c>
      <c r="CQ180" s="499" t="str">
        <f t="shared" si="24"/>
        <v/>
      </c>
      <c r="CR180" s="499">
        <f t="shared" si="24"/>
        <v>0</v>
      </c>
      <c r="CS180" s="499">
        <f t="shared" si="24"/>
        <v>0</v>
      </c>
      <c r="CT180" s="499" t="str">
        <f t="shared" si="24"/>
        <v/>
      </c>
      <c r="CU180" s="499" t="str">
        <f t="shared" ref="CU180:DZ180" si="25">IF(CU161=1, CU$151/CU$156, "")</f>
        <v/>
      </c>
      <c r="CV180" s="499">
        <f t="shared" si="25"/>
        <v>2061.875</v>
      </c>
      <c r="CW180" s="499" t="str">
        <f t="shared" si="25"/>
        <v/>
      </c>
      <c r="CX180" s="499">
        <f t="shared" si="25"/>
        <v>17277.327666666664</v>
      </c>
      <c r="CY180" s="499" t="str">
        <f t="shared" si="25"/>
        <v/>
      </c>
      <c r="CZ180" s="499">
        <f t="shared" si="25"/>
        <v>0</v>
      </c>
      <c r="DA180" s="499">
        <f t="shared" si="25"/>
        <v>73500</v>
      </c>
      <c r="DB180" s="499">
        <f t="shared" si="25"/>
        <v>1991.6666666666667</v>
      </c>
      <c r="DC180" s="499">
        <f t="shared" si="25"/>
        <v>43123.9375</v>
      </c>
      <c r="DD180" s="499">
        <f t="shared" si="25"/>
        <v>542690.33333333337</v>
      </c>
      <c r="DE180" s="499">
        <f t="shared" si="25"/>
        <v>570383.32615384622</v>
      </c>
      <c r="DF180" s="499" t="str">
        <f t="shared" si="25"/>
        <v/>
      </c>
      <c r="DG180" s="499" t="str">
        <f t="shared" si="25"/>
        <v/>
      </c>
      <c r="DH180" s="499">
        <f t="shared" si="25"/>
        <v>0</v>
      </c>
      <c r="DI180" s="499" t="str">
        <f t="shared" si="25"/>
        <v/>
      </c>
      <c r="DJ180" s="499" t="str">
        <f t="shared" si="25"/>
        <v/>
      </c>
      <c r="DK180" s="499">
        <f t="shared" si="25"/>
        <v>0</v>
      </c>
      <c r="DL180" s="499" t="str">
        <f t="shared" si="25"/>
        <v/>
      </c>
      <c r="DM180" s="499" t="str">
        <f t="shared" si="25"/>
        <v/>
      </c>
      <c r="DN180" s="499" t="str">
        <f t="shared" si="25"/>
        <v/>
      </c>
      <c r="DO180" s="499">
        <f t="shared" si="25"/>
        <v>1084001.3333333333</v>
      </c>
      <c r="DP180" s="499" t="str">
        <f t="shared" si="25"/>
        <v/>
      </c>
      <c r="DQ180" s="499" t="str">
        <f t="shared" si="25"/>
        <v/>
      </c>
      <c r="DR180" s="499">
        <f t="shared" si="25"/>
        <v>0</v>
      </c>
      <c r="DS180" s="499" t="str">
        <f t="shared" si="25"/>
        <v/>
      </c>
      <c r="DT180" s="499" t="str">
        <f t="shared" si="25"/>
        <v/>
      </c>
      <c r="DU180" s="499" t="str">
        <f t="shared" si="25"/>
        <v/>
      </c>
      <c r="DV180" s="499" t="str">
        <f t="shared" si="25"/>
        <v/>
      </c>
      <c r="DW180" s="499" t="str">
        <f t="shared" si="25"/>
        <v/>
      </c>
      <c r="DX180" s="499">
        <f t="shared" si="25"/>
        <v>1380000</v>
      </c>
      <c r="DY180" s="499" t="str">
        <f t="shared" si="25"/>
        <v/>
      </c>
      <c r="DZ180" s="499" t="str">
        <f t="shared" si="25"/>
        <v/>
      </c>
      <c r="EA180" s="499" t="str">
        <f t="shared" ref="EA180:EI180" si="26">IF(EA161=1, EA$151/EA$156, "")</f>
        <v/>
      </c>
      <c r="EB180" s="499">
        <f t="shared" si="26"/>
        <v>0</v>
      </c>
      <c r="EC180" s="499">
        <f t="shared" si="26"/>
        <v>250950</v>
      </c>
      <c r="ED180" s="499" t="str">
        <f t="shared" si="26"/>
        <v/>
      </c>
      <c r="EE180" s="499">
        <f t="shared" si="26"/>
        <v>0</v>
      </c>
      <c r="EF180" s="499" t="str">
        <f t="shared" si="26"/>
        <v/>
      </c>
      <c r="EG180" s="499" t="str">
        <f t="shared" si="26"/>
        <v/>
      </c>
      <c r="EH180" s="499" t="str">
        <f t="shared" si="26"/>
        <v/>
      </c>
      <c r="EI180" s="499" t="str">
        <f t="shared" si="26"/>
        <v/>
      </c>
      <c r="EJ180" s="499">
        <f t="shared" si="16"/>
        <v>4834438.3751697186</v>
      </c>
      <c r="EK180" s="67"/>
      <c r="EL180" s="67"/>
      <c r="EM180" s="67"/>
      <c r="EN180" s="67"/>
      <c r="EO180" s="67"/>
      <c r="EP180" s="67"/>
      <c r="EQ180" s="67"/>
      <c r="ER180" s="67"/>
      <c r="ES180" s="67"/>
      <c r="ET180" s="67"/>
      <c r="EU180" s="67"/>
      <c r="EV180" s="67"/>
      <c r="EW180" s="67"/>
      <c r="EX180" s="67"/>
      <c r="EY180" s="67"/>
      <c r="EZ180" s="67"/>
    </row>
    <row r="181" spans="1:156">
      <c r="B181" s="500" t="s">
        <v>112</v>
      </c>
      <c r="C181" s="499" t="str">
        <f t="shared" ref="C181:AH181" si="27">IF(C162=1, C$151/C$156, "")</f>
        <v/>
      </c>
      <c r="D181" s="499" t="str">
        <f t="shared" si="27"/>
        <v/>
      </c>
      <c r="E181" s="499" t="str">
        <f t="shared" si="27"/>
        <v/>
      </c>
      <c r="F181" s="499" t="str">
        <f t="shared" si="27"/>
        <v/>
      </c>
      <c r="G181" s="499" t="str">
        <f t="shared" si="27"/>
        <v/>
      </c>
      <c r="H181" s="499">
        <f t="shared" si="27"/>
        <v>17291.6875</v>
      </c>
      <c r="I181" s="499" t="str">
        <f t="shared" si="27"/>
        <v/>
      </c>
      <c r="J181" s="499" t="str">
        <f t="shared" si="27"/>
        <v/>
      </c>
      <c r="K181" s="499" t="str">
        <f t="shared" si="27"/>
        <v/>
      </c>
      <c r="L181" s="499" t="str">
        <f t="shared" si="27"/>
        <v/>
      </c>
      <c r="M181" s="499" t="str">
        <f t="shared" si="27"/>
        <v/>
      </c>
      <c r="N181" s="499" t="str">
        <f t="shared" si="27"/>
        <v/>
      </c>
      <c r="O181" s="499">
        <f t="shared" si="27"/>
        <v>0</v>
      </c>
      <c r="P181" s="499" t="str">
        <f t="shared" si="27"/>
        <v/>
      </c>
      <c r="Q181" s="499">
        <f t="shared" si="27"/>
        <v>79856.5</v>
      </c>
      <c r="R181" s="499" t="str">
        <f t="shared" si="27"/>
        <v/>
      </c>
      <c r="S181" s="499" t="str">
        <f t="shared" si="27"/>
        <v/>
      </c>
      <c r="T181" s="499" t="str">
        <f t="shared" si="27"/>
        <v/>
      </c>
      <c r="U181" s="499" t="str">
        <f t="shared" si="27"/>
        <v/>
      </c>
      <c r="V181" s="499">
        <f t="shared" si="27"/>
        <v>0</v>
      </c>
      <c r="W181" s="499" t="str">
        <f t="shared" si="27"/>
        <v/>
      </c>
      <c r="X181" s="499">
        <f t="shared" si="27"/>
        <v>440917.5</v>
      </c>
      <c r="Y181" s="499" t="str">
        <f t="shared" si="27"/>
        <v/>
      </c>
      <c r="Z181" s="499" t="str">
        <f t="shared" si="27"/>
        <v/>
      </c>
      <c r="AA181" s="499" t="str">
        <f t="shared" si="27"/>
        <v/>
      </c>
      <c r="AB181" s="499">
        <f t="shared" si="27"/>
        <v>67231.5</v>
      </c>
      <c r="AC181" s="499" t="str">
        <f t="shared" si="27"/>
        <v/>
      </c>
      <c r="AD181" s="499" t="str">
        <f t="shared" si="27"/>
        <v/>
      </c>
      <c r="AE181" s="499">
        <f t="shared" si="27"/>
        <v>0</v>
      </c>
      <c r="AF181" s="499">
        <f t="shared" si="27"/>
        <v>0</v>
      </c>
      <c r="AG181" s="499" t="str">
        <f t="shared" si="27"/>
        <v/>
      </c>
      <c r="AH181" s="499">
        <f t="shared" si="27"/>
        <v>0</v>
      </c>
      <c r="AI181" s="499" t="str">
        <f t="shared" ref="AI181:BN181" si="28">IF(AI162=1, AI$151/AI$156, "")</f>
        <v/>
      </c>
      <c r="AJ181" s="499">
        <f t="shared" si="28"/>
        <v>0</v>
      </c>
      <c r="AK181" s="499" t="str">
        <f t="shared" si="28"/>
        <v/>
      </c>
      <c r="AL181" s="499" t="str">
        <f t="shared" si="28"/>
        <v/>
      </c>
      <c r="AM181" s="499" t="str">
        <f t="shared" si="28"/>
        <v/>
      </c>
      <c r="AN181" s="499">
        <f t="shared" si="28"/>
        <v>10362.618571428571</v>
      </c>
      <c r="AO181" s="499" t="str">
        <f t="shared" si="28"/>
        <v/>
      </c>
      <c r="AP181" s="499" t="str">
        <f t="shared" si="28"/>
        <v/>
      </c>
      <c r="AQ181" s="499" t="str">
        <f t="shared" si="28"/>
        <v/>
      </c>
      <c r="AR181" s="499" t="str">
        <f t="shared" si="28"/>
        <v/>
      </c>
      <c r="AS181" s="499">
        <f t="shared" si="28"/>
        <v>0</v>
      </c>
      <c r="AT181" s="499">
        <f t="shared" si="28"/>
        <v>0</v>
      </c>
      <c r="AU181" s="499" t="str">
        <f t="shared" si="28"/>
        <v/>
      </c>
      <c r="AV181" s="499" t="str">
        <f t="shared" si="28"/>
        <v/>
      </c>
      <c r="AW181" s="499" t="str">
        <f t="shared" si="28"/>
        <v/>
      </c>
      <c r="AX181" s="499" t="str">
        <f t="shared" si="28"/>
        <v/>
      </c>
      <c r="AY181" s="499">
        <f t="shared" si="28"/>
        <v>20249.5</v>
      </c>
      <c r="AZ181" s="499" t="str">
        <f t="shared" si="28"/>
        <v/>
      </c>
      <c r="BA181" s="499">
        <f t="shared" si="28"/>
        <v>2857.1428571428573</v>
      </c>
      <c r="BB181" s="499">
        <f t="shared" si="28"/>
        <v>5745.75</v>
      </c>
      <c r="BC181" s="499">
        <f t="shared" si="28"/>
        <v>76923.076923076922</v>
      </c>
      <c r="BD181" s="499" t="str">
        <f t="shared" si="28"/>
        <v/>
      </c>
      <c r="BE181" s="499" t="str">
        <f t="shared" si="28"/>
        <v/>
      </c>
      <c r="BF181" s="499" t="str">
        <f t="shared" si="28"/>
        <v/>
      </c>
      <c r="BG181" s="499">
        <f t="shared" si="28"/>
        <v>0</v>
      </c>
      <c r="BH181" s="499">
        <f t="shared" si="28"/>
        <v>0</v>
      </c>
      <c r="BI181" s="499">
        <f t="shared" si="28"/>
        <v>0</v>
      </c>
      <c r="BJ181" s="499">
        <f t="shared" si="28"/>
        <v>0</v>
      </c>
      <c r="BK181" s="499" t="str">
        <f t="shared" si="28"/>
        <v/>
      </c>
      <c r="BL181" s="499" t="str">
        <f t="shared" si="28"/>
        <v/>
      </c>
      <c r="BM181" s="499" t="str">
        <f t="shared" si="28"/>
        <v/>
      </c>
      <c r="BN181" s="499" t="str">
        <f t="shared" si="28"/>
        <v/>
      </c>
      <c r="BO181" s="499" t="str">
        <f t="shared" ref="BO181:CT181" si="29">IF(BO162=1, BO$151/BO$156, "")</f>
        <v/>
      </c>
      <c r="BP181" s="499">
        <f t="shared" si="29"/>
        <v>0</v>
      </c>
      <c r="BQ181" s="499">
        <f t="shared" si="29"/>
        <v>2662280</v>
      </c>
      <c r="BR181" s="499" t="str">
        <f t="shared" si="29"/>
        <v/>
      </c>
      <c r="BS181" s="499">
        <f t="shared" si="29"/>
        <v>175000</v>
      </c>
      <c r="BT181" s="499">
        <f t="shared" si="29"/>
        <v>0</v>
      </c>
      <c r="BU181" s="499" t="str">
        <f t="shared" si="29"/>
        <v/>
      </c>
      <c r="BV181" s="499" t="str">
        <f t="shared" si="29"/>
        <v/>
      </c>
      <c r="BW181" s="499" t="str">
        <f t="shared" si="29"/>
        <v/>
      </c>
      <c r="BX181" s="499" t="str">
        <f t="shared" si="29"/>
        <v/>
      </c>
      <c r="BY181" s="499" t="str">
        <f t="shared" si="29"/>
        <v/>
      </c>
      <c r="BZ181" s="499">
        <f t="shared" si="29"/>
        <v>0</v>
      </c>
      <c r="CA181" s="499" t="str">
        <f t="shared" si="29"/>
        <v/>
      </c>
      <c r="CB181" s="499">
        <f t="shared" si="29"/>
        <v>142.85714285714286</v>
      </c>
      <c r="CC181" s="499" t="str">
        <f t="shared" si="29"/>
        <v/>
      </c>
      <c r="CD181" s="499" t="str">
        <f t="shared" si="29"/>
        <v/>
      </c>
      <c r="CE181" s="499" t="str">
        <f t="shared" si="29"/>
        <v/>
      </c>
      <c r="CF181" s="499" t="str">
        <f t="shared" si="29"/>
        <v/>
      </c>
      <c r="CG181" s="499" t="str">
        <f t="shared" si="29"/>
        <v/>
      </c>
      <c r="CH181" s="499" t="str">
        <f t="shared" si="29"/>
        <v/>
      </c>
      <c r="CI181" s="499" t="str">
        <f t="shared" si="29"/>
        <v/>
      </c>
      <c r="CJ181" s="499" t="str">
        <f t="shared" si="29"/>
        <v/>
      </c>
      <c r="CK181" s="499">
        <f t="shared" si="29"/>
        <v>76074.444444444438</v>
      </c>
      <c r="CL181" s="499">
        <f t="shared" si="29"/>
        <v>73.2</v>
      </c>
      <c r="CM181" s="499">
        <f t="shared" si="29"/>
        <v>252897.5</v>
      </c>
      <c r="CN181" s="499" t="str">
        <f t="shared" si="29"/>
        <v/>
      </c>
      <c r="CO181" s="499">
        <f t="shared" si="29"/>
        <v>0</v>
      </c>
      <c r="CP181" s="499">
        <f t="shared" si="29"/>
        <v>0</v>
      </c>
      <c r="CQ181" s="499">
        <f t="shared" si="29"/>
        <v>0</v>
      </c>
      <c r="CR181" s="499" t="str">
        <f t="shared" si="29"/>
        <v/>
      </c>
      <c r="CS181" s="499">
        <f t="shared" si="29"/>
        <v>0</v>
      </c>
      <c r="CT181" s="499" t="str">
        <f t="shared" si="29"/>
        <v/>
      </c>
      <c r="CU181" s="499" t="str">
        <f t="shared" ref="CU181:DZ181" si="30">IF(CU162=1, CU$151/CU$156, "")</f>
        <v/>
      </c>
      <c r="CV181" s="499" t="str">
        <f t="shared" si="30"/>
        <v/>
      </c>
      <c r="CW181" s="499">
        <f t="shared" si="30"/>
        <v>129542.91666666667</v>
      </c>
      <c r="CX181" s="499" t="str">
        <f t="shared" si="30"/>
        <v/>
      </c>
      <c r="CY181" s="499" t="str">
        <f t="shared" si="30"/>
        <v/>
      </c>
      <c r="CZ181" s="499" t="str">
        <f t="shared" si="30"/>
        <v/>
      </c>
      <c r="DA181" s="499">
        <f t="shared" si="30"/>
        <v>73500</v>
      </c>
      <c r="DB181" s="499" t="str">
        <f t="shared" si="30"/>
        <v/>
      </c>
      <c r="DC181" s="499">
        <f t="shared" si="30"/>
        <v>43123.9375</v>
      </c>
      <c r="DD181" s="499">
        <f t="shared" si="30"/>
        <v>542690.33333333337</v>
      </c>
      <c r="DE181" s="499" t="str">
        <f t="shared" si="30"/>
        <v/>
      </c>
      <c r="DF181" s="499" t="str">
        <f t="shared" si="30"/>
        <v/>
      </c>
      <c r="DG181" s="499" t="str">
        <f t="shared" si="30"/>
        <v/>
      </c>
      <c r="DH181" s="499">
        <f t="shared" si="30"/>
        <v>0</v>
      </c>
      <c r="DI181" s="499" t="str">
        <f t="shared" si="30"/>
        <v/>
      </c>
      <c r="DJ181" s="499" t="str">
        <f t="shared" si="30"/>
        <v/>
      </c>
      <c r="DK181" s="499">
        <f t="shared" si="30"/>
        <v>0</v>
      </c>
      <c r="DL181" s="499">
        <f t="shared" si="30"/>
        <v>0</v>
      </c>
      <c r="DM181" s="499" t="str">
        <f t="shared" si="30"/>
        <v/>
      </c>
      <c r="DN181" s="499" t="str">
        <f t="shared" si="30"/>
        <v/>
      </c>
      <c r="DO181" s="499">
        <f t="shared" si="30"/>
        <v>1084001.3333333333</v>
      </c>
      <c r="DP181" s="499" t="str">
        <f t="shared" si="30"/>
        <v/>
      </c>
      <c r="DQ181" s="499" t="str">
        <f t="shared" si="30"/>
        <v/>
      </c>
      <c r="DR181" s="499" t="str">
        <f t="shared" si="30"/>
        <v/>
      </c>
      <c r="DS181" s="499" t="str">
        <f t="shared" si="30"/>
        <v/>
      </c>
      <c r="DT181" s="499" t="str">
        <f t="shared" si="30"/>
        <v/>
      </c>
      <c r="DU181" s="499">
        <f t="shared" si="30"/>
        <v>40333.333333333336</v>
      </c>
      <c r="DV181" s="499">
        <f t="shared" si="30"/>
        <v>0</v>
      </c>
      <c r="DW181" s="499" t="str">
        <f t="shared" si="30"/>
        <v/>
      </c>
      <c r="DX181" s="499" t="str">
        <f t="shared" si="30"/>
        <v/>
      </c>
      <c r="DY181" s="499" t="str">
        <f t="shared" si="30"/>
        <v/>
      </c>
      <c r="DZ181" s="499" t="str">
        <f t="shared" si="30"/>
        <v/>
      </c>
      <c r="EA181" s="499">
        <f t="shared" ref="EA181:EI181" si="31">IF(EA162=1, EA$151/EA$156, "")</f>
        <v>0</v>
      </c>
      <c r="EB181" s="499" t="str">
        <f t="shared" si="31"/>
        <v/>
      </c>
      <c r="EC181" s="499" t="str">
        <f t="shared" si="31"/>
        <v/>
      </c>
      <c r="ED181" s="499">
        <f t="shared" si="31"/>
        <v>0</v>
      </c>
      <c r="EE181" s="499">
        <f t="shared" si="31"/>
        <v>0</v>
      </c>
      <c r="EF181" s="499" t="str">
        <f t="shared" si="31"/>
        <v/>
      </c>
      <c r="EG181" s="499">
        <f t="shared" si="31"/>
        <v>62450</v>
      </c>
      <c r="EH181" s="499">
        <f t="shared" si="31"/>
        <v>60406.25</v>
      </c>
      <c r="EI181" s="499">
        <f t="shared" si="31"/>
        <v>0</v>
      </c>
      <c r="EJ181" s="499">
        <f t="shared" si="16"/>
        <v>5923951.3816056158</v>
      </c>
      <c r="EK181" s="67"/>
      <c r="EL181" s="67"/>
      <c r="EM181" s="67"/>
      <c r="EN181" s="67"/>
      <c r="EO181" s="67"/>
      <c r="EP181" s="67"/>
      <c r="EQ181" s="67"/>
      <c r="ER181" s="67"/>
      <c r="ES181" s="67"/>
      <c r="ET181" s="67"/>
      <c r="EU181" s="67"/>
      <c r="EV181" s="67"/>
      <c r="EW181" s="67"/>
      <c r="EX181" s="67"/>
      <c r="EY181" s="67"/>
      <c r="EZ181" s="67"/>
    </row>
    <row r="182" spans="1:156">
      <c r="B182" s="500" t="s">
        <v>93</v>
      </c>
      <c r="C182" s="499" t="str">
        <f t="shared" ref="C182:AH182" si="32">IF(C163=1, C$151/C$156, "")</f>
        <v/>
      </c>
      <c r="D182" s="499" t="str">
        <f t="shared" si="32"/>
        <v/>
      </c>
      <c r="E182" s="499" t="str">
        <f t="shared" si="32"/>
        <v/>
      </c>
      <c r="F182" s="499" t="str">
        <f t="shared" si="32"/>
        <v/>
      </c>
      <c r="G182" s="499">
        <f t="shared" si="32"/>
        <v>304898.33333333331</v>
      </c>
      <c r="H182" s="499">
        <f t="shared" si="32"/>
        <v>17291.6875</v>
      </c>
      <c r="I182" s="499" t="str">
        <f t="shared" si="32"/>
        <v/>
      </c>
      <c r="J182" s="499" t="str">
        <f t="shared" si="32"/>
        <v/>
      </c>
      <c r="K182" s="499" t="str">
        <f t="shared" si="32"/>
        <v/>
      </c>
      <c r="L182" s="499" t="str">
        <f t="shared" si="32"/>
        <v/>
      </c>
      <c r="M182" s="499" t="str">
        <f t="shared" si="32"/>
        <v/>
      </c>
      <c r="N182" s="499" t="str">
        <f t="shared" si="32"/>
        <v/>
      </c>
      <c r="O182" s="499" t="str">
        <f t="shared" si="32"/>
        <v/>
      </c>
      <c r="P182" s="499" t="str">
        <f t="shared" si="32"/>
        <v/>
      </c>
      <c r="Q182" s="499" t="str">
        <f t="shared" si="32"/>
        <v/>
      </c>
      <c r="R182" s="499" t="str">
        <f t="shared" si="32"/>
        <v/>
      </c>
      <c r="S182" s="499" t="str">
        <f t="shared" si="32"/>
        <v/>
      </c>
      <c r="T182" s="499" t="str">
        <f t="shared" si="32"/>
        <v/>
      </c>
      <c r="U182" s="499" t="str">
        <f t="shared" si="32"/>
        <v/>
      </c>
      <c r="V182" s="499" t="str">
        <f t="shared" si="32"/>
        <v/>
      </c>
      <c r="W182" s="499" t="str">
        <f t="shared" si="32"/>
        <v/>
      </c>
      <c r="X182" s="499">
        <f t="shared" si="32"/>
        <v>440917.5</v>
      </c>
      <c r="Y182" s="499" t="str">
        <f t="shared" si="32"/>
        <v/>
      </c>
      <c r="Z182" s="499" t="str">
        <f t="shared" si="32"/>
        <v/>
      </c>
      <c r="AA182" s="499" t="str">
        <f t="shared" si="32"/>
        <v/>
      </c>
      <c r="AB182" s="499" t="str">
        <f t="shared" si="32"/>
        <v/>
      </c>
      <c r="AC182" s="499" t="str">
        <f t="shared" si="32"/>
        <v/>
      </c>
      <c r="AD182" s="499" t="str">
        <f t="shared" si="32"/>
        <v/>
      </c>
      <c r="AE182" s="499" t="str">
        <f t="shared" si="32"/>
        <v/>
      </c>
      <c r="AF182" s="499">
        <f t="shared" si="32"/>
        <v>0</v>
      </c>
      <c r="AG182" s="499" t="str">
        <f t="shared" si="32"/>
        <v/>
      </c>
      <c r="AH182" s="499" t="str">
        <f t="shared" si="32"/>
        <v/>
      </c>
      <c r="AI182" s="499" t="str">
        <f t="shared" ref="AI182:BN182" si="33">IF(AI163=1, AI$151/AI$156, "")</f>
        <v/>
      </c>
      <c r="AJ182" s="499">
        <f t="shared" si="33"/>
        <v>0</v>
      </c>
      <c r="AK182" s="499" t="str">
        <f t="shared" si="33"/>
        <v/>
      </c>
      <c r="AL182" s="499" t="str">
        <f t="shared" si="33"/>
        <v/>
      </c>
      <c r="AM182" s="499" t="str">
        <f t="shared" si="33"/>
        <v/>
      </c>
      <c r="AN182" s="499">
        <f t="shared" si="33"/>
        <v>10362.618571428571</v>
      </c>
      <c r="AO182" s="499" t="str">
        <f t="shared" si="33"/>
        <v/>
      </c>
      <c r="AP182" s="499" t="str">
        <f t="shared" si="33"/>
        <v/>
      </c>
      <c r="AQ182" s="499" t="str">
        <f t="shared" si="33"/>
        <v/>
      </c>
      <c r="AR182" s="499" t="str">
        <f t="shared" si="33"/>
        <v/>
      </c>
      <c r="AS182" s="499">
        <f t="shared" si="33"/>
        <v>0</v>
      </c>
      <c r="AT182" s="499">
        <f t="shared" si="33"/>
        <v>0</v>
      </c>
      <c r="AU182" s="499" t="str">
        <f t="shared" si="33"/>
        <v/>
      </c>
      <c r="AV182" s="499" t="str">
        <f t="shared" si="33"/>
        <v/>
      </c>
      <c r="AW182" s="499" t="str">
        <f t="shared" si="33"/>
        <v/>
      </c>
      <c r="AX182" s="499">
        <f t="shared" si="33"/>
        <v>0</v>
      </c>
      <c r="AY182" s="499">
        <f t="shared" si="33"/>
        <v>20249.5</v>
      </c>
      <c r="AZ182" s="499">
        <f t="shared" si="33"/>
        <v>0</v>
      </c>
      <c r="BA182" s="499" t="str">
        <f t="shared" si="33"/>
        <v/>
      </c>
      <c r="BB182" s="499">
        <f t="shared" si="33"/>
        <v>5745.75</v>
      </c>
      <c r="BC182" s="499">
        <f t="shared" si="33"/>
        <v>76923.076923076922</v>
      </c>
      <c r="BD182" s="499" t="str">
        <f t="shared" si="33"/>
        <v/>
      </c>
      <c r="BE182" s="499" t="str">
        <f t="shared" si="33"/>
        <v/>
      </c>
      <c r="BF182" s="499" t="str">
        <f t="shared" si="33"/>
        <v/>
      </c>
      <c r="BG182" s="499">
        <f t="shared" si="33"/>
        <v>0</v>
      </c>
      <c r="BH182" s="499" t="str">
        <f t="shared" si="33"/>
        <v/>
      </c>
      <c r="BI182" s="499" t="str">
        <f t="shared" si="33"/>
        <v/>
      </c>
      <c r="BJ182" s="499" t="str">
        <f t="shared" si="33"/>
        <v/>
      </c>
      <c r="BK182" s="499" t="str">
        <f t="shared" si="33"/>
        <v/>
      </c>
      <c r="BL182" s="499" t="str">
        <f t="shared" si="33"/>
        <v/>
      </c>
      <c r="BM182" s="499" t="str">
        <f t="shared" si="33"/>
        <v/>
      </c>
      <c r="BN182" s="499" t="str">
        <f t="shared" si="33"/>
        <v/>
      </c>
      <c r="BO182" s="499" t="str">
        <f t="shared" ref="BO182:CT182" si="34">IF(BO163=1, BO$151/BO$156, "")</f>
        <v/>
      </c>
      <c r="BP182" s="499">
        <f t="shared" si="34"/>
        <v>0</v>
      </c>
      <c r="BQ182" s="499" t="str">
        <f t="shared" si="34"/>
        <v/>
      </c>
      <c r="BR182" s="499" t="str">
        <f t="shared" si="34"/>
        <v/>
      </c>
      <c r="BS182" s="499" t="str">
        <f t="shared" si="34"/>
        <v/>
      </c>
      <c r="BT182" s="499">
        <f t="shared" si="34"/>
        <v>0</v>
      </c>
      <c r="BU182" s="499" t="str">
        <f t="shared" si="34"/>
        <v/>
      </c>
      <c r="BV182" s="499" t="str">
        <f t="shared" si="34"/>
        <v/>
      </c>
      <c r="BW182" s="499" t="str">
        <f t="shared" si="34"/>
        <v/>
      </c>
      <c r="BX182" s="499" t="str">
        <f t="shared" si="34"/>
        <v/>
      </c>
      <c r="BY182" s="499" t="str">
        <f t="shared" si="34"/>
        <v/>
      </c>
      <c r="BZ182" s="499">
        <f t="shared" si="34"/>
        <v>0</v>
      </c>
      <c r="CA182" s="499" t="str">
        <f t="shared" si="34"/>
        <v/>
      </c>
      <c r="CB182" s="499">
        <f t="shared" si="34"/>
        <v>142.85714285714286</v>
      </c>
      <c r="CC182" s="499" t="str">
        <f t="shared" si="34"/>
        <v/>
      </c>
      <c r="CD182" s="499" t="str">
        <f t="shared" si="34"/>
        <v/>
      </c>
      <c r="CE182" s="499" t="str">
        <f t="shared" si="34"/>
        <v/>
      </c>
      <c r="CF182" s="499" t="str">
        <f t="shared" si="34"/>
        <v/>
      </c>
      <c r="CG182" s="499" t="str">
        <f t="shared" si="34"/>
        <v/>
      </c>
      <c r="CH182" s="499" t="str">
        <f t="shared" si="34"/>
        <v/>
      </c>
      <c r="CI182" s="499" t="str">
        <f t="shared" si="34"/>
        <v/>
      </c>
      <c r="CJ182" s="499" t="str">
        <f t="shared" si="34"/>
        <v/>
      </c>
      <c r="CK182" s="499">
        <f t="shared" si="34"/>
        <v>76074.444444444438</v>
      </c>
      <c r="CL182" s="499">
        <f t="shared" si="34"/>
        <v>73.2</v>
      </c>
      <c r="CM182" s="499" t="str">
        <f t="shared" si="34"/>
        <v/>
      </c>
      <c r="CN182" s="499" t="str">
        <f t="shared" si="34"/>
        <v/>
      </c>
      <c r="CO182" s="499">
        <f t="shared" si="34"/>
        <v>0</v>
      </c>
      <c r="CP182" s="499" t="str">
        <f t="shared" si="34"/>
        <v/>
      </c>
      <c r="CQ182" s="499" t="str">
        <f t="shared" si="34"/>
        <v/>
      </c>
      <c r="CR182" s="499" t="str">
        <f t="shared" si="34"/>
        <v/>
      </c>
      <c r="CS182" s="499" t="str">
        <f t="shared" si="34"/>
        <v/>
      </c>
      <c r="CT182" s="499" t="str">
        <f t="shared" si="34"/>
        <v/>
      </c>
      <c r="CU182" s="499" t="str">
        <f t="shared" ref="CU182:DZ182" si="35">IF(CU163=1, CU$151/CU$156, "")</f>
        <v/>
      </c>
      <c r="CV182" s="499">
        <f t="shared" si="35"/>
        <v>2061.875</v>
      </c>
      <c r="CW182" s="499">
        <f t="shared" si="35"/>
        <v>129542.91666666667</v>
      </c>
      <c r="CX182" s="499" t="str">
        <f t="shared" si="35"/>
        <v/>
      </c>
      <c r="CY182" s="499" t="str">
        <f t="shared" si="35"/>
        <v/>
      </c>
      <c r="CZ182" s="499" t="str">
        <f t="shared" si="35"/>
        <v/>
      </c>
      <c r="DA182" s="499" t="str">
        <f t="shared" si="35"/>
        <v/>
      </c>
      <c r="DB182" s="499">
        <f t="shared" si="35"/>
        <v>1991.6666666666667</v>
      </c>
      <c r="DC182" s="499">
        <f t="shared" si="35"/>
        <v>43123.9375</v>
      </c>
      <c r="DD182" s="499" t="str">
        <f t="shared" si="35"/>
        <v/>
      </c>
      <c r="DE182" s="499">
        <f t="shared" si="35"/>
        <v>570383.32615384622</v>
      </c>
      <c r="DF182" s="499" t="str">
        <f t="shared" si="35"/>
        <v/>
      </c>
      <c r="DG182" s="499">
        <f t="shared" si="35"/>
        <v>413318.33333333331</v>
      </c>
      <c r="DH182" s="499">
        <f t="shared" si="35"/>
        <v>0</v>
      </c>
      <c r="DI182" s="499" t="str">
        <f t="shared" si="35"/>
        <v/>
      </c>
      <c r="DJ182" s="499" t="str">
        <f t="shared" si="35"/>
        <v/>
      </c>
      <c r="DK182" s="499">
        <f t="shared" si="35"/>
        <v>0</v>
      </c>
      <c r="DL182" s="499" t="str">
        <f t="shared" si="35"/>
        <v/>
      </c>
      <c r="DM182" s="499" t="str">
        <f t="shared" si="35"/>
        <v/>
      </c>
      <c r="DN182" s="499">
        <f t="shared" si="35"/>
        <v>2000</v>
      </c>
      <c r="DO182" s="499" t="str">
        <f t="shared" si="35"/>
        <v/>
      </c>
      <c r="DP182" s="499" t="str">
        <f t="shared" si="35"/>
        <v/>
      </c>
      <c r="DQ182" s="499" t="str">
        <f t="shared" si="35"/>
        <v/>
      </c>
      <c r="DR182" s="499" t="str">
        <f t="shared" si="35"/>
        <v/>
      </c>
      <c r="DS182" s="499" t="str">
        <f t="shared" si="35"/>
        <v/>
      </c>
      <c r="DT182" s="499" t="str">
        <f t="shared" si="35"/>
        <v/>
      </c>
      <c r="DU182" s="499" t="str">
        <f t="shared" si="35"/>
        <v/>
      </c>
      <c r="DV182" s="499" t="str">
        <f t="shared" si="35"/>
        <v/>
      </c>
      <c r="DW182" s="499" t="str">
        <f t="shared" si="35"/>
        <v/>
      </c>
      <c r="DX182" s="499" t="str">
        <f t="shared" si="35"/>
        <v/>
      </c>
      <c r="DY182" s="499" t="str">
        <f t="shared" si="35"/>
        <v/>
      </c>
      <c r="DZ182" s="499" t="str">
        <f t="shared" si="35"/>
        <v/>
      </c>
      <c r="EA182" s="499" t="str">
        <f t="shared" ref="EA182:EI182" si="36">IF(EA163=1, EA$151/EA$156, "")</f>
        <v/>
      </c>
      <c r="EB182" s="499" t="str">
        <f t="shared" si="36"/>
        <v/>
      </c>
      <c r="EC182" s="499" t="str">
        <f t="shared" si="36"/>
        <v/>
      </c>
      <c r="ED182" s="499">
        <f t="shared" si="36"/>
        <v>0</v>
      </c>
      <c r="EE182" s="499">
        <f t="shared" si="36"/>
        <v>0</v>
      </c>
      <c r="EF182" s="499">
        <f t="shared" si="36"/>
        <v>192686.66666666666</v>
      </c>
      <c r="EG182" s="499" t="str">
        <f t="shared" si="36"/>
        <v/>
      </c>
      <c r="EH182" s="499" t="str">
        <f t="shared" si="36"/>
        <v/>
      </c>
      <c r="EI182" s="499">
        <f t="shared" si="36"/>
        <v>0</v>
      </c>
      <c r="EJ182" s="499">
        <f t="shared" si="16"/>
        <v>2307787.68990232</v>
      </c>
      <c r="EK182" s="67"/>
      <c r="EL182" s="67"/>
      <c r="EM182" s="67"/>
      <c r="EN182" s="67"/>
      <c r="EO182" s="67"/>
      <c r="EP182" s="67"/>
      <c r="EQ182" s="67"/>
      <c r="ER182" s="67"/>
      <c r="ES182" s="67"/>
      <c r="ET182" s="67"/>
      <c r="EU182" s="67"/>
      <c r="EV182" s="67"/>
      <c r="EW182" s="67"/>
      <c r="EX182" s="67"/>
      <c r="EY182" s="67"/>
      <c r="EZ182" s="67"/>
    </row>
    <row r="183" spans="1:156">
      <c r="B183" s="500" t="s">
        <v>95</v>
      </c>
      <c r="C183" s="499" t="str">
        <f t="shared" ref="C183:AH183" si="37">IF(C164=1, C$151/C$156, "")</f>
        <v/>
      </c>
      <c r="D183" s="499" t="str">
        <f t="shared" si="37"/>
        <v/>
      </c>
      <c r="E183" s="499" t="str">
        <f t="shared" si="37"/>
        <v/>
      </c>
      <c r="F183" s="499" t="str">
        <f t="shared" si="37"/>
        <v/>
      </c>
      <c r="G183" s="499">
        <f t="shared" si="37"/>
        <v>304898.33333333331</v>
      </c>
      <c r="H183" s="499">
        <f t="shared" si="37"/>
        <v>17291.6875</v>
      </c>
      <c r="I183" s="499" t="str">
        <f t="shared" si="37"/>
        <v/>
      </c>
      <c r="J183" s="499" t="str">
        <f t="shared" si="37"/>
        <v/>
      </c>
      <c r="K183" s="499" t="str">
        <f t="shared" si="37"/>
        <v/>
      </c>
      <c r="L183" s="499" t="str">
        <f t="shared" si="37"/>
        <v/>
      </c>
      <c r="M183" s="499" t="str">
        <f t="shared" si="37"/>
        <v/>
      </c>
      <c r="N183" s="499">
        <f t="shared" si="37"/>
        <v>0</v>
      </c>
      <c r="O183" s="499" t="str">
        <f t="shared" si="37"/>
        <v/>
      </c>
      <c r="P183" s="499" t="str">
        <f t="shared" si="37"/>
        <v/>
      </c>
      <c r="Q183" s="499" t="str">
        <f t="shared" si="37"/>
        <v/>
      </c>
      <c r="R183" s="499" t="str">
        <f t="shared" si="37"/>
        <v/>
      </c>
      <c r="S183" s="499" t="str">
        <f t="shared" si="37"/>
        <v/>
      </c>
      <c r="T183" s="499" t="str">
        <f t="shared" si="37"/>
        <v/>
      </c>
      <c r="U183" s="499" t="str">
        <f t="shared" si="37"/>
        <v/>
      </c>
      <c r="V183" s="499" t="str">
        <f t="shared" si="37"/>
        <v/>
      </c>
      <c r="W183" s="499">
        <f t="shared" si="37"/>
        <v>0</v>
      </c>
      <c r="X183" s="499">
        <f t="shared" si="37"/>
        <v>440917.5</v>
      </c>
      <c r="Y183" s="499" t="str">
        <f t="shared" si="37"/>
        <v/>
      </c>
      <c r="Z183" s="499" t="str">
        <f t="shared" si="37"/>
        <v/>
      </c>
      <c r="AA183" s="499" t="str">
        <f t="shared" si="37"/>
        <v/>
      </c>
      <c r="AB183" s="499" t="str">
        <f t="shared" si="37"/>
        <v/>
      </c>
      <c r="AC183" s="499" t="str">
        <f t="shared" si="37"/>
        <v/>
      </c>
      <c r="AD183" s="499" t="str">
        <f t="shared" si="37"/>
        <v/>
      </c>
      <c r="AE183" s="499" t="str">
        <f t="shared" si="37"/>
        <v/>
      </c>
      <c r="AF183" s="499" t="str">
        <f t="shared" si="37"/>
        <v/>
      </c>
      <c r="AG183" s="499" t="str">
        <f t="shared" si="37"/>
        <v/>
      </c>
      <c r="AH183" s="499">
        <f t="shared" si="37"/>
        <v>0</v>
      </c>
      <c r="AI183" s="499" t="str">
        <f t="shared" ref="AI183:BN183" si="38">IF(AI164=1, AI$151/AI$156, "")</f>
        <v/>
      </c>
      <c r="AJ183" s="499">
        <f t="shared" si="38"/>
        <v>0</v>
      </c>
      <c r="AK183" s="499" t="str">
        <f t="shared" si="38"/>
        <v/>
      </c>
      <c r="AL183" s="499" t="str">
        <f t="shared" si="38"/>
        <v/>
      </c>
      <c r="AM183" s="499" t="str">
        <f t="shared" si="38"/>
        <v/>
      </c>
      <c r="AN183" s="499">
        <f t="shared" si="38"/>
        <v>10362.618571428571</v>
      </c>
      <c r="AO183" s="499" t="str">
        <f t="shared" si="38"/>
        <v/>
      </c>
      <c r="AP183" s="499" t="str">
        <f t="shared" si="38"/>
        <v/>
      </c>
      <c r="AQ183" s="499" t="str">
        <f t="shared" si="38"/>
        <v/>
      </c>
      <c r="AR183" s="499" t="str">
        <f t="shared" si="38"/>
        <v/>
      </c>
      <c r="AS183" s="499">
        <f t="shared" si="38"/>
        <v>0</v>
      </c>
      <c r="AT183" s="499">
        <f t="shared" si="38"/>
        <v>0</v>
      </c>
      <c r="AU183" s="499" t="str">
        <f t="shared" si="38"/>
        <v/>
      </c>
      <c r="AV183" s="499">
        <f t="shared" si="38"/>
        <v>0</v>
      </c>
      <c r="AW183" s="499" t="str">
        <f t="shared" si="38"/>
        <v/>
      </c>
      <c r="AX183" s="499">
        <f t="shared" si="38"/>
        <v>0</v>
      </c>
      <c r="AY183" s="499">
        <f t="shared" si="38"/>
        <v>20249.5</v>
      </c>
      <c r="AZ183" s="499" t="str">
        <f t="shared" si="38"/>
        <v/>
      </c>
      <c r="BA183" s="499">
        <f t="shared" si="38"/>
        <v>2857.1428571428573</v>
      </c>
      <c r="BB183" s="499">
        <f t="shared" si="38"/>
        <v>5745.75</v>
      </c>
      <c r="BC183" s="499">
        <f t="shared" si="38"/>
        <v>76923.076923076922</v>
      </c>
      <c r="BD183" s="499">
        <f t="shared" si="38"/>
        <v>6928.5714285714284</v>
      </c>
      <c r="BE183" s="499" t="str">
        <f t="shared" si="38"/>
        <v/>
      </c>
      <c r="BF183" s="499" t="str">
        <f t="shared" si="38"/>
        <v/>
      </c>
      <c r="BG183" s="499">
        <f t="shared" si="38"/>
        <v>0</v>
      </c>
      <c r="BH183" s="499" t="str">
        <f t="shared" si="38"/>
        <v/>
      </c>
      <c r="BI183" s="499" t="str">
        <f t="shared" si="38"/>
        <v/>
      </c>
      <c r="BJ183" s="499" t="str">
        <f t="shared" si="38"/>
        <v/>
      </c>
      <c r="BK183" s="499" t="str">
        <f t="shared" si="38"/>
        <v/>
      </c>
      <c r="BL183" s="499" t="str">
        <f t="shared" si="38"/>
        <v/>
      </c>
      <c r="BM183" s="499" t="str">
        <f t="shared" si="38"/>
        <v/>
      </c>
      <c r="BN183" s="499" t="str">
        <f t="shared" si="38"/>
        <v/>
      </c>
      <c r="BO183" s="499" t="str">
        <f t="shared" ref="BO183:CT183" si="39">IF(BO164=1, BO$151/BO$156, "")</f>
        <v/>
      </c>
      <c r="BP183" s="499">
        <f t="shared" si="39"/>
        <v>0</v>
      </c>
      <c r="BQ183" s="499" t="str">
        <f t="shared" si="39"/>
        <v/>
      </c>
      <c r="BR183" s="499" t="str">
        <f t="shared" si="39"/>
        <v/>
      </c>
      <c r="BS183" s="499" t="str">
        <f t="shared" si="39"/>
        <v/>
      </c>
      <c r="BT183" s="499">
        <f t="shared" si="39"/>
        <v>0</v>
      </c>
      <c r="BU183" s="499" t="str">
        <f t="shared" si="39"/>
        <v/>
      </c>
      <c r="BV183" s="499" t="str">
        <f t="shared" si="39"/>
        <v/>
      </c>
      <c r="BW183" s="499" t="str">
        <f t="shared" si="39"/>
        <v/>
      </c>
      <c r="BX183" s="499" t="str">
        <f t="shared" si="39"/>
        <v/>
      </c>
      <c r="BY183" s="499" t="str">
        <f t="shared" si="39"/>
        <v/>
      </c>
      <c r="BZ183" s="499" t="str">
        <f t="shared" si="39"/>
        <v/>
      </c>
      <c r="CA183" s="499" t="str">
        <f t="shared" si="39"/>
        <v/>
      </c>
      <c r="CB183" s="499">
        <f t="shared" si="39"/>
        <v>142.85714285714286</v>
      </c>
      <c r="CC183" s="499" t="str">
        <f t="shared" si="39"/>
        <v/>
      </c>
      <c r="CD183" s="499" t="str">
        <f t="shared" si="39"/>
        <v/>
      </c>
      <c r="CE183" s="499" t="str">
        <f t="shared" si="39"/>
        <v/>
      </c>
      <c r="CF183" s="499" t="str">
        <f t="shared" si="39"/>
        <v/>
      </c>
      <c r="CG183" s="499" t="str">
        <f t="shared" si="39"/>
        <v/>
      </c>
      <c r="CH183" s="499" t="str">
        <f t="shared" si="39"/>
        <v/>
      </c>
      <c r="CI183" s="499" t="str">
        <f t="shared" si="39"/>
        <v/>
      </c>
      <c r="CJ183" s="499" t="str">
        <f t="shared" si="39"/>
        <v/>
      </c>
      <c r="CK183" s="499" t="str">
        <f t="shared" si="39"/>
        <v/>
      </c>
      <c r="CL183" s="499" t="str">
        <f t="shared" si="39"/>
        <v/>
      </c>
      <c r="CM183" s="499">
        <f t="shared" si="39"/>
        <v>252897.5</v>
      </c>
      <c r="CN183" s="499" t="str">
        <f t="shared" si="39"/>
        <v/>
      </c>
      <c r="CO183" s="499" t="str">
        <f t="shared" si="39"/>
        <v/>
      </c>
      <c r="CP183" s="499">
        <f t="shared" si="39"/>
        <v>0</v>
      </c>
      <c r="CQ183" s="499" t="str">
        <f t="shared" si="39"/>
        <v/>
      </c>
      <c r="CR183" s="499" t="str">
        <f t="shared" si="39"/>
        <v/>
      </c>
      <c r="CS183" s="499" t="str">
        <f t="shared" si="39"/>
        <v/>
      </c>
      <c r="CT183" s="499" t="str">
        <f t="shared" si="39"/>
        <v/>
      </c>
      <c r="CU183" s="499" t="str">
        <f t="shared" ref="CU183:DZ183" si="40">IF(CU164=1, CU$151/CU$156, "")</f>
        <v/>
      </c>
      <c r="CV183" s="499">
        <f t="shared" si="40"/>
        <v>2061.875</v>
      </c>
      <c r="CW183" s="499">
        <f t="shared" si="40"/>
        <v>129542.91666666667</v>
      </c>
      <c r="CX183" s="499" t="str">
        <f t="shared" si="40"/>
        <v/>
      </c>
      <c r="CY183" s="499" t="str">
        <f t="shared" si="40"/>
        <v/>
      </c>
      <c r="CZ183" s="499" t="str">
        <f t="shared" si="40"/>
        <v/>
      </c>
      <c r="DA183" s="499" t="str">
        <f t="shared" si="40"/>
        <v/>
      </c>
      <c r="DB183" s="499">
        <f t="shared" si="40"/>
        <v>1991.6666666666667</v>
      </c>
      <c r="DC183" s="499">
        <f t="shared" si="40"/>
        <v>43123.9375</v>
      </c>
      <c r="DD183" s="499" t="str">
        <f t="shared" si="40"/>
        <v/>
      </c>
      <c r="DE183" s="499">
        <f t="shared" si="40"/>
        <v>570383.32615384622</v>
      </c>
      <c r="DF183" s="499" t="str">
        <f t="shared" si="40"/>
        <v/>
      </c>
      <c r="DG183" s="499">
        <f t="shared" si="40"/>
        <v>413318.33333333331</v>
      </c>
      <c r="DH183" s="499">
        <f t="shared" si="40"/>
        <v>0</v>
      </c>
      <c r="DI183" s="499" t="str">
        <f t="shared" si="40"/>
        <v/>
      </c>
      <c r="DJ183" s="499" t="str">
        <f t="shared" si="40"/>
        <v/>
      </c>
      <c r="DK183" s="499">
        <f t="shared" si="40"/>
        <v>0</v>
      </c>
      <c r="DL183" s="499" t="str">
        <f t="shared" si="40"/>
        <v/>
      </c>
      <c r="DM183" s="499" t="str">
        <f t="shared" si="40"/>
        <v/>
      </c>
      <c r="DN183" s="499" t="str">
        <f t="shared" si="40"/>
        <v/>
      </c>
      <c r="DO183" s="499" t="str">
        <f t="shared" si="40"/>
        <v/>
      </c>
      <c r="DP183" s="499" t="str">
        <f t="shared" si="40"/>
        <v/>
      </c>
      <c r="DQ183" s="499">
        <f t="shared" si="40"/>
        <v>0</v>
      </c>
      <c r="DR183" s="499" t="str">
        <f t="shared" si="40"/>
        <v/>
      </c>
      <c r="DS183" s="499" t="str">
        <f t="shared" si="40"/>
        <v/>
      </c>
      <c r="DT183" s="499" t="str">
        <f t="shared" si="40"/>
        <v/>
      </c>
      <c r="DU183" s="499">
        <f t="shared" si="40"/>
        <v>40333.333333333336</v>
      </c>
      <c r="DV183" s="499" t="str">
        <f t="shared" si="40"/>
        <v/>
      </c>
      <c r="DW183" s="499" t="str">
        <f t="shared" si="40"/>
        <v/>
      </c>
      <c r="DX183" s="499" t="str">
        <f t="shared" si="40"/>
        <v/>
      </c>
      <c r="DY183" s="499" t="str">
        <f t="shared" si="40"/>
        <v/>
      </c>
      <c r="DZ183" s="499" t="str">
        <f t="shared" si="40"/>
        <v/>
      </c>
      <c r="EA183" s="499" t="str">
        <f t="shared" ref="EA183:EI183" si="41">IF(EA164=1, EA$151/EA$156, "")</f>
        <v/>
      </c>
      <c r="EB183" s="499" t="str">
        <f t="shared" si="41"/>
        <v/>
      </c>
      <c r="EC183" s="499" t="str">
        <f t="shared" si="41"/>
        <v/>
      </c>
      <c r="ED183" s="499" t="str">
        <f t="shared" si="41"/>
        <v/>
      </c>
      <c r="EE183" s="499">
        <f t="shared" si="41"/>
        <v>0</v>
      </c>
      <c r="EF183" s="499">
        <f t="shared" si="41"/>
        <v>192686.66666666666</v>
      </c>
      <c r="EG183" s="499">
        <f t="shared" si="41"/>
        <v>62450</v>
      </c>
      <c r="EH183" s="499">
        <f t="shared" si="41"/>
        <v>60406.25</v>
      </c>
      <c r="EI183" s="499">
        <f t="shared" si="41"/>
        <v>0</v>
      </c>
      <c r="EJ183" s="499">
        <f t="shared" si="16"/>
        <v>2655512.8430769234</v>
      </c>
      <c r="EK183" s="67"/>
      <c r="EL183" s="67"/>
      <c r="EM183" s="67"/>
      <c r="EN183" s="67"/>
      <c r="EO183" s="67"/>
      <c r="EP183" s="67"/>
      <c r="EQ183" s="67"/>
      <c r="ER183" s="67"/>
      <c r="ES183" s="67"/>
      <c r="ET183" s="67"/>
      <c r="EU183" s="67"/>
      <c r="EV183" s="67"/>
      <c r="EW183" s="67"/>
      <c r="EX183" s="67"/>
      <c r="EY183" s="67"/>
      <c r="EZ183" s="67"/>
    </row>
    <row r="184" spans="1:156">
      <c r="B184" s="500" t="s">
        <v>88</v>
      </c>
      <c r="C184" s="499" t="str">
        <f t="shared" ref="C184:AH184" si="42">IF(C165=1, C$151/C$156, "")</f>
        <v/>
      </c>
      <c r="D184" s="499" t="str">
        <f t="shared" si="42"/>
        <v/>
      </c>
      <c r="E184" s="499" t="str">
        <f t="shared" si="42"/>
        <v/>
      </c>
      <c r="F184" s="499" t="str">
        <f t="shared" si="42"/>
        <v/>
      </c>
      <c r="G184" s="499">
        <f t="shared" si="42"/>
        <v>304898.33333333331</v>
      </c>
      <c r="H184" s="499">
        <f t="shared" si="42"/>
        <v>17291.6875</v>
      </c>
      <c r="I184" s="499" t="str">
        <f t="shared" si="42"/>
        <v/>
      </c>
      <c r="J184" s="499" t="str">
        <f t="shared" si="42"/>
        <v/>
      </c>
      <c r="K184" s="499" t="str">
        <f t="shared" si="42"/>
        <v/>
      </c>
      <c r="L184" s="499" t="str">
        <f t="shared" si="42"/>
        <v/>
      </c>
      <c r="M184" s="499" t="str">
        <f t="shared" si="42"/>
        <v/>
      </c>
      <c r="N184" s="499">
        <f t="shared" si="42"/>
        <v>0</v>
      </c>
      <c r="O184" s="499" t="str">
        <f t="shared" si="42"/>
        <v/>
      </c>
      <c r="P184" s="499">
        <f t="shared" si="42"/>
        <v>0</v>
      </c>
      <c r="Q184" s="499" t="str">
        <f t="shared" si="42"/>
        <v/>
      </c>
      <c r="R184" s="499" t="str">
        <f t="shared" si="42"/>
        <v/>
      </c>
      <c r="S184" s="499" t="str">
        <f t="shared" si="42"/>
        <v/>
      </c>
      <c r="T184" s="499">
        <f t="shared" si="42"/>
        <v>0</v>
      </c>
      <c r="U184" s="499" t="str">
        <f t="shared" si="42"/>
        <v/>
      </c>
      <c r="V184" s="499" t="str">
        <f t="shared" si="42"/>
        <v/>
      </c>
      <c r="W184" s="499" t="str">
        <f t="shared" si="42"/>
        <v/>
      </c>
      <c r="X184" s="499">
        <f t="shared" si="42"/>
        <v>440917.5</v>
      </c>
      <c r="Y184" s="499" t="str">
        <f t="shared" si="42"/>
        <v/>
      </c>
      <c r="Z184" s="499">
        <f t="shared" si="42"/>
        <v>0</v>
      </c>
      <c r="AA184" s="499" t="str">
        <f t="shared" si="42"/>
        <v/>
      </c>
      <c r="AB184" s="499" t="str">
        <f t="shared" si="42"/>
        <v/>
      </c>
      <c r="AC184" s="499" t="str">
        <f t="shared" si="42"/>
        <v/>
      </c>
      <c r="AD184" s="499" t="str">
        <f t="shared" si="42"/>
        <v/>
      </c>
      <c r="AE184" s="499" t="str">
        <f t="shared" si="42"/>
        <v/>
      </c>
      <c r="AF184" s="499" t="str">
        <f t="shared" si="42"/>
        <v/>
      </c>
      <c r="AG184" s="499" t="str">
        <f t="shared" si="42"/>
        <v/>
      </c>
      <c r="AH184" s="499" t="str">
        <f t="shared" si="42"/>
        <v/>
      </c>
      <c r="AI184" s="499" t="str">
        <f t="shared" ref="AI184:BN184" si="43">IF(AI165=1, AI$151/AI$156, "")</f>
        <v/>
      </c>
      <c r="AJ184" s="499" t="str">
        <f t="shared" si="43"/>
        <v/>
      </c>
      <c r="AK184" s="499" t="str">
        <f t="shared" si="43"/>
        <v/>
      </c>
      <c r="AL184" s="499">
        <f t="shared" si="43"/>
        <v>0</v>
      </c>
      <c r="AM184" s="499" t="str">
        <f t="shared" si="43"/>
        <v/>
      </c>
      <c r="AN184" s="499" t="str">
        <f t="shared" si="43"/>
        <v/>
      </c>
      <c r="AO184" s="499">
        <f t="shared" si="43"/>
        <v>24179.443333333333</v>
      </c>
      <c r="AP184" s="499">
        <f t="shared" si="43"/>
        <v>0</v>
      </c>
      <c r="AQ184" s="499" t="str">
        <f t="shared" si="43"/>
        <v/>
      </c>
      <c r="AR184" s="499">
        <f t="shared" si="43"/>
        <v>0</v>
      </c>
      <c r="AS184" s="499" t="str">
        <f t="shared" si="43"/>
        <v/>
      </c>
      <c r="AT184" s="499" t="str">
        <f t="shared" si="43"/>
        <v/>
      </c>
      <c r="AU184" s="499">
        <f t="shared" si="43"/>
        <v>187.375</v>
      </c>
      <c r="AV184" s="499">
        <f t="shared" si="43"/>
        <v>0</v>
      </c>
      <c r="AW184" s="499">
        <f t="shared" si="43"/>
        <v>1102.5</v>
      </c>
      <c r="AX184" s="499" t="str">
        <f t="shared" si="43"/>
        <v/>
      </c>
      <c r="AY184" s="499">
        <f t="shared" si="43"/>
        <v>20249.5</v>
      </c>
      <c r="AZ184" s="499">
        <f t="shared" si="43"/>
        <v>0</v>
      </c>
      <c r="BA184" s="499">
        <f t="shared" si="43"/>
        <v>2857.1428571428573</v>
      </c>
      <c r="BB184" s="499">
        <f t="shared" si="43"/>
        <v>5745.75</v>
      </c>
      <c r="BC184" s="499">
        <f t="shared" si="43"/>
        <v>76923.076923076922</v>
      </c>
      <c r="BD184" s="499">
        <f t="shared" si="43"/>
        <v>6928.5714285714284</v>
      </c>
      <c r="BE184" s="499">
        <f t="shared" si="43"/>
        <v>0</v>
      </c>
      <c r="BF184" s="499" t="str">
        <f t="shared" si="43"/>
        <v/>
      </c>
      <c r="BG184" s="499">
        <f t="shared" si="43"/>
        <v>0</v>
      </c>
      <c r="BH184" s="499" t="str">
        <f t="shared" si="43"/>
        <v/>
      </c>
      <c r="BI184" s="499" t="str">
        <f t="shared" si="43"/>
        <v/>
      </c>
      <c r="BJ184" s="499" t="str">
        <f t="shared" si="43"/>
        <v/>
      </c>
      <c r="BK184" s="499" t="str">
        <f t="shared" si="43"/>
        <v/>
      </c>
      <c r="BL184" s="499" t="str">
        <f t="shared" si="43"/>
        <v/>
      </c>
      <c r="BM184" s="499" t="str">
        <f t="shared" si="43"/>
        <v/>
      </c>
      <c r="BN184" s="499" t="str">
        <f t="shared" si="43"/>
        <v/>
      </c>
      <c r="BO184" s="499" t="str">
        <f t="shared" ref="BO184:CT184" si="44">IF(BO165=1, BO$151/BO$156, "")</f>
        <v/>
      </c>
      <c r="BP184" s="499">
        <f t="shared" si="44"/>
        <v>0</v>
      </c>
      <c r="BQ184" s="499" t="str">
        <f t="shared" si="44"/>
        <v/>
      </c>
      <c r="BR184" s="499">
        <f t="shared" si="44"/>
        <v>0</v>
      </c>
      <c r="BS184" s="499" t="str">
        <f t="shared" si="44"/>
        <v/>
      </c>
      <c r="BT184" s="499" t="str">
        <f t="shared" si="44"/>
        <v/>
      </c>
      <c r="BU184" s="499" t="str">
        <f t="shared" si="44"/>
        <v/>
      </c>
      <c r="BV184" s="499">
        <f t="shared" si="44"/>
        <v>0</v>
      </c>
      <c r="BW184" s="499" t="str">
        <f t="shared" si="44"/>
        <v/>
      </c>
      <c r="BX184" s="499" t="str">
        <f t="shared" si="44"/>
        <v/>
      </c>
      <c r="BY184" s="499" t="str">
        <f t="shared" si="44"/>
        <v/>
      </c>
      <c r="BZ184" s="499" t="str">
        <f t="shared" si="44"/>
        <v/>
      </c>
      <c r="CA184" s="499" t="str">
        <f t="shared" si="44"/>
        <v/>
      </c>
      <c r="CB184" s="499" t="str">
        <f t="shared" si="44"/>
        <v/>
      </c>
      <c r="CC184" s="499" t="str">
        <f t="shared" si="44"/>
        <v/>
      </c>
      <c r="CD184" s="499">
        <f t="shared" si="44"/>
        <v>333.33333333333331</v>
      </c>
      <c r="CE184" s="499" t="str">
        <f t="shared" si="44"/>
        <v/>
      </c>
      <c r="CF184" s="499" t="str">
        <f t="shared" si="44"/>
        <v/>
      </c>
      <c r="CG184" s="499" t="str">
        <f t="shared" si="44"/>
        <v/>
      </c>
      <c r="CH184" s="499" t="str">
        <f t="shared" si="44"/>
        <v/>
      </c>
      <c r="CI184" s="499" t="str">
        <f t="shared" si="44"/>
        <v/>
      </c>
      <c r="CJ184" s="499" t="str">
        <f t="shared" si="44"/>
        <v/>
      </c>
      <c r="CK184" s="499">
        <f t="shared" si="44"/>
        <v>76074.444444444438</v>
      </c>
      <c r="CL184" s="499" t="str">
        <f t="shared" si="44"/>
        <v/>
      </c>
      <c r="CM184" s="499" t="str">
        <f t="shared" si="44"/>
        <v/>
      </c>
      <c r="CN184" s="499" t="str">
        <f t="shared" si="44"/>
        <v/>
      </c>
      <c r="CO184" s="499">
        <f t="shared" si="44"/>
        <v>0</v>
      </c>
      <c r="CP184" s="499">
        <f t="shared" si="44"/>
        <v>0</v>
      </c>
      <c r="CQ184" s="499" t="str">
        <f t="shared" si="44"/>
        <v/>
      </c>
      <c r="CR184" s="499" t="str">
        <f t="shared" si="44"/>
        <v/>
      </c>
      <c r="CS184" s="499" t="str">
        <f t="shared" si="44"/>
        <v/>
      </c>
      <c r="CT184" s="499" t="str">
        <f t="shared" si="44"/>
        <v/>
      </c>
      <c r="CU184" s="499" t="str">
        <f t="shared" ref="CU184:DZ184" si="45">IF(CU165=1, CU$151/CU$156, "")</f>
        <v/>
      </c>
      <c r="CV184" s="499">
        <f t="shared" si="45"/>
        <v>2061.875</v>
      </c>
      <c r="CW184" s="499">
        <f t="shared" si="45"/>
        <v>129542.91666666667</v>
      </c>
      <c r="CX184" s="499">
        <f t="shared" si="45"/>
        <v>17277.327666666664</v>
      </c>
      <c r="CY184" s="499" t="str">
        <f t="shared" si="45"/>
        <v/>
      </c>
      <c r="CZ184" s="499" t="str">
        <f t="shared" si="45"/>
        <v/>
      </c>
      <c r="DA184" s="499" t="str">
        <f t="shared" si="45"/>
        <v/>
      </c>
      <c r="DB184" s="499">
        <f t="shared" si="45"/>
        <v>1991.6666666666667</v>
      </c>
      <c r="DC184" s="499">
        <f t="shared" si="45"/>
        <v>43123.9375</v>
      </c>
      <c r="DD184" s="499" t="str">
        <f t="shared" si="45"/>
        <v/>
      </c>
      <c r="DE184" s="499">
        <f t="shared" si="45"/>
        <v>570383.32615384622</v>
      </c>
      <c r="DF184" s="499">
        <f t="shared" si="45"/>
        <v>57422</v>
      </c>
      <c r="DG184" s="499">
        <f t="shared" si="45"/>
        <v>413318.33333333331</v>
      </c>
      <c r="DH184" s="499" t="str">
        <f t="shared" si="45"/>
        <v/>
      </c>
      <c r="DI184" s="499" t="str">
        <f t="shared" si="45"/>
        <v/>
      </c>
      <c r="DJ184" s="499">
        <f t="shared" si="45"/>
        <v>0</v>
      </c>
      <c r="DK184" s="499">
        <f t="shared" si="45"/>
        <v>0</v>
      </c>
      <c r="DL184" s="499" t="str">
        <f t="shared" si="45"/>
        <v/>
      </c>
      <c r="DM184" s="499" t="str">
        <f t="shared" si="45"/>
        <v/>
      </c>
      <c r="DN184" s="499" t="str">
        <f t="shared" si="45"/>
        <v/>
      </c>
      <c r="DO184" s="499" t="str">
        <f t="shared" si="45"/>
        <v/>
      </c>
      <c r="DP184" s="499">
        <f t="shared" si="45"/>
        <v>0</v>
      </c>
      <c r="DQ184" s="499" t="str">
        <f t="shared" si="45"/>
        <v/>
      </c>
      <c r="DR184" s="499" t="str">
        <f t="shared" si="45"/>
        <v/>
      </c>
      <c r="DS184" s="499" t="str">
        <f t="shared" si="45"/>
        <v/>
      </c>
      <c r="DT184" s="499" t="str">
        <f t="shared" si="45"/>
        <v/>
      </c>
      <c r="DU184" s="499" t="str">
        <f t="shared" si="45"/>
        <v/>
      </c>
      <c r="DV184" s="499" t="str">
        <f t="shared" si="45"/>
        <v/>
      </c>
      <c r="DW184" s="499" t="str">
        <f t="shared" si="45"/>
        <v/>
      </c>
      <c r="DX184" s="499" t="str">
        <f t="shared" si="45"/>
        <v/>
      </c>
      <c r="DY184" s="499" t="str">
        <f t="shared" si="45"/>
        <v/>
      </c>
      <c r="DZ184" s="499" t="str">
        <f t="shared" si="45"/>
        <v/>
      </c>
      <c r="EA184" s="499" t="str">
        <f t="shared" ref="EA184:EI184" si="46">IF(EA165=1, EA$151/EA$156, "")</f>
        <v/>
      </c>
      <c r="EB184" s="499" t="str">
        <f t="shared" si="46"/>
        <v/>
      </c>
      <c r="EC184" s="499" t="str">
        <f t="shared" si="46"/>
        <v/>
      </c>
      <c r="ED184" s="499" t="str">
        <f t="shared" si="46"/>
        <v/>
      </c>
      <c r="EE184" s="499">
        <f t="shared" si="46"/>
        <v>0</v>
      </c>
      <c r="EF184" s="499">
        <f t="shared" si="46"/>
        <v>192686.66666666666</v>
      </c>
      <c r="EG184" s="499">
        <f t="shared" si="46"/>
        <v>62450</v>
      </c>
      <c r="EH184" s="499" t="str">
        <f t="shared" si="46"/>
        <v/>
      </c>
      <c r="EI184" s="499">
        <f t="shared" si="46"/>
        <v>0</v>
      </c>
      <c r="EJ184" s="499">
        <f t="shared" si="16"/>
        <v>2467946.7078070818</v>
      </c>
      <c r="EK184" s="67"/>
      <c r="EL184" s="67"/>
      <c r="EM184" s="67"/>
      <c r="EN184" s="67"/>
      <c r="EO184" s="67"/>
      <c r="EP184" s="67"/>
      <c r="EQ184" s="67"/>
      <c r="ER184" s="67"/>
      <c r="ES184" s="67"/>
      <c r="ET184" s="67"/>
      <c r="EU184" s="67"/>
      <c r="EV184" s="67"/>
      <c r="EW184" s="67"/>
      <c r="EX184" s="67"/>
      <c r="EY184" s="67"/>
      <c r="EZ184" s="67"/>
    </row>
    <row r="185" spans="1:156">
      <c r="B185" s="500" t="s">
        <v>99</v>
      </c>
      <c r="C185" s="499" t="str">
        <f t="shared" ref="C185:AH185" si="47">IF(C166=1, C$151/C$156, "")</f>
        <v/>
      </c>
      <c r="D185" s="499" t="str">
        <f t="shared" si="47"/>
        <v/>
      </c>
      <c r="E185" s="499" t="str">
        <f t="shared" si="47"/>
        <v/>
      </c>
      <c r="F185" s="499" t="str">
        <f t="shared" si="47"/>
        <v/>
      </c>
      <c r="G185" s="499" t="str">
        <f t="shared" si="47"/>
        <v/>
      </c>
      <c r="H185" s="499">
        <f t="shared" si="47"/>
        <v>17291.6875</v>
      </c>
      <c r="I185" s="499" t="str">
        <f t="shared" si="47"/>
        <v/>
      </c>
      <c r="J185" s="499" t="str">
        <f t="shared" si="47"/>
        <v/>
      </c>
      <c r="K185" s="499" t="str">
        <f t="shared" si="47"/>
        <v/>
      </c>
      <c r="L185" s="499" t="str">
        <f t="shared" si="47"/>
        <v/>
      </c>
      <c r="M185" s="499" t="str">
        <f t="shared" si="47"/>
        <v/>
      </c>
      <c r="N185" s="499">
        <f t="shared" si="47"/>
        <v>0</v>
      </c>
      <c r="O185" s="499" t="str">
        <f t="shared" si="47"/>
        <v/>
      </c>
      <c r="P185" s="499">
        <f t="shared" si="47"/>
        <v>0</v>
      </c>
      <c r="Q185" s="499" t="str">
        <f t="shared" si="47"/>
        <v/>
      </c>
      <c r="R185" s="499" t="str">
        <f t="shared" si="47"/>
        <v/>
      </c>
      <c r="S185" s="499" t="str">
        <f t="shared" si="47"/>
        <v/>
      </c>
      <c r="T185" s="499">
        <f t="shared" si="47"/>
        <v>0</v>
      </c>
      <c r="U185" s="499" t="str">
        <f t="shared" si="47"/>
        <v/>
      </c>
      <c r="V185" s="499" t="str">
        <f t="shared" si="47"/>
        <v/>
      </c>
      <c r="W185" s="499" t="str">
        <f t="shared" si="47"/>
        <v/>
      </c>
      <c r="X185" s="499">
        <f t="shared" si="47"/>
        <v>440917.5</v>
      </c>
      <c r="Y185" s="499" t="str">
        <f t="shared" si="47"/>
        <v/>
      </c>
      <c r="Z185" s="499">
        <f t="shared" si="47"/>
        <v>0</v>
      </c>
      <c r="AA185" s="499" t="str">
        <f t="shared" si="47"/>
        <v/>
      </c>
      <c r="AB185" s="499" t="str">
        <f t="shared" si="47"/>
        <v/>
      </c>
      <c r="AC185" s="499" t="str">
        <f t="shared" si="47"/>
        <v/>
      </c>
      <c r="AD185" s="499" t="str">
        <f t="shared" si="47"/>
        <v/>
      </c>
      <c r="AE185" s="499" t="str">
        <f t="shared" si="47"/>
        <v/>
      </c>
      <c r="AF185" s="499" t="str">
        <f t="shared" si="47"/>
        <v/>
      </c>
      <c r="AG185" s="499" t="str">
        <f t="shared" si="47"/>
        <v/>
      </c>
      <c r="AH185" s="499">
        <f t="shared" si="47"/>
        <v>0</v>
      </c>
      <c r="AI185" s="499" t="str">
        <f t="shared" ref="AI185:BN185" si="48">IF(AI166=1, AI$151/AI$156, "")</f>
        <v/>
      </c>
      <c r="AJ185" s="499" t="str">
        <f t="shared" si="48"/>
        <v/>
      </c>
      <c r="AK185" s="499" t="str">
        <f t="shared" si="48"/>
        <v/>
      </c>
      <c r="AL185" s="499">
        <f t="shared" si="48"/>
        <v>0</v>
      </c>
      <c r="AM185" s="499" t="str">
        <f t="shared" si="48"/>
        <v/>
      </c>
      <c r="AN185" s="499" t="str">
        <f t="shared" si="48"/>
        <v/>
      </c>
      <c r="AO185" s="499">
        <f t="shared" si="48"/>
        <v>24179.443333333333</v>
      </c>
      <c r="AP185" s="499" t="str">
        <f t="shared" si="48"/>
        <v/>
      </c>
      <c r="AQ185" s="499" t="str">
        <f t="shared" si="48"/>
        <v/>
      </c>
      <c r="AR185" s="499">
        <f t="shared" si="48"/>
        <v>0</v>
      </c>
      <c r="AS185" s="499">
        <f t="shared" si="48"/>
        <v>0</v>
      </c>
      <c r="AT185" s="499" t="str">
        <f t="shared" si="48"/>
        <v/>
      </c>
      <c r="AU185" s="499">
        <f t="shared" si="48"/>
        <v>187.375</v>
      </c>
      <c r="AV185" s="499" t="str">
        <f t="shared" si="48"/>
        <v/>
      </c>
      <c r="AW185" s="499">
        <f t="shared" si="48"/>
        <v>1102.5</v>
      </c>
      <c r="AX185" s="499" t="str">
        <f t="shared" si="48"/>
        <v/>
      </c>
      <c r="AY185" s="499">
        <f t="shared" si="48"/>
        <v>20249.5</v>
      </c>
      <c r="AZ185" s="499" t="str">
        <f t="shared" si="48"/>
        <v/>
      </c>
      <c r="BA185" s="499">
        <f t="shared" si="48"/>
        <v>2857.1428571428573</v>
      </c>
      <c r="BB185" s="499">
        <f t="shared" si="48"/>
        <v>5745.75</v>
      </c>
      <c r="BC185" s="499">
        <f t="shared" si="48"/>
        <v>76923.076923076922</v>
      </c>
      <c r="BD185" s="499">
        <f t="shared" si="48"/>
        <v>6928.5714285714284</v>
      </c>
      <c r="BE185" s="499" t="str">
        <f t="shared" si="48"/>
        <v/>
      </c>
      <c r="BF185" s="499">
        <f t="shared" si="48"/>
        <v>55333.333333333336</v>
      </c>
      <c r="BG185" s="499">
        <f t="shared" si="48"/>
        <v>0</v>
      </c>
      <c r="BH185" s="499" t="str">
        <f t="shared" si="48"/>
        <v/>
      </c>
      <c r="BI185" s="499" t="str">
        <f t="shared" si="48"/>
        <v/>
      </c>
      <c r="BJ185" s="499" t="str">
        <f t="shared" si="48"/>
        <v/>
      </c>
      <c r="BK185" s="499" t="str">
        <f t="shared" si="48"/>
        <v/>
      </c>
      <c r="BL185" s="499" t="str">
        <f t="shared" si="48"/>
        <v/>
      </c>
      <c r="BM185" s="499" t="str">
        <f t="shared" si="48"/>
        <v/>
      </c>
      <c r="BN185" s="499" t="str">
        <f t="shared" si="48"/>
        <v/>
      </c>
      <c r="BO185" s="499" t="str">
        <f t="shared" ref="BO185:CT185" si="49">IF(BO166=1, BO$151/BO$156, "")</f>
        <v/>
      </c>
      <c r="BP185" s="499">
        <f t="shared" si="49"/>
        <v>0</v>
      </c>
      <c r="BQ185" s="499" t="str">
        <f t="shared" si="49"/>
        <v/>
      </c>
      <c r="BR185" s="499" t="str">
        <f t="shared" si="49"/>
        <v/>
      </c>
      <c r="BS185" s="499" t="str">
        <f t="shared" si="49"/>
        <v/>
      </c>
      <c r="BT185" s="499" t="str">
        <f t="shared" si="49"/>
        <v/>
      </c>
      <c r="BU185" s="499" t="str">
        <f t="shared" si="49"/>
        <v/>
      </c>
      <c r="BV185" s="499">
        <f t="shared" si="49"/>
        <v>0</v>
      </c>
      <c r="BW185" s="499" t="str">
        <f t="shared" si="49"/>
        <v/>
      </c>
      <c r="BX185" s="499" t="str">
        <f t="shared" si="49"/>
        <v/>
      </c>
      <c r="BY185" s="499" t="str">
        <f t="shared" si="49"/>
        <v/>
      </c>
      <c r="BZ185" s="499" t="str">
        <f t="shared" si="49"/>
        <v/>
      </c>
      <c r="CA185" s="499" t="str">
        <f t="shared" si="49"/>
        <v/>
      </c>
      <c r="CB185" s="499" t="str">
        <f t="shared" si="49"/>
        <v/>
      </c>
      <c r="CC185" s="499" t="str">
        <f t="shared" si="49"/>
        <v/>
      </c>
      <c r="CD185" s="499">
        <f t="shared" si="49"/>
        <v>333.33333333333331</v>
      </c>
      <c r="CE185" s="499" t="str">
        <f t="shared" si="49"/>
        <v/>
      </c>
      <c r="CF185" s="499" t="str">
        <f t="shared" si="49"/>
        <v/>
      </c>
      <c r="CG185" s="499" t="str">
        <f t="shared" si="49"/>
        <v/>
      </c>
      <c r="CH185" s="499" t="str">
        <f t="shared" si="49"/>
        <v/>
      </c>
      <c r="CI185" s="499">
        <f t="shared" si="49"/>
        <v>0</v>
      </c>
      <c r="CJ185" s="499" t="str">
        <f t="shared" si="49"/>
        <v/>
      </c>
      <c r="CK185" s="499" t="str">
        <f t="shared" si="49"/>
        <v/>
      </c>
      <c r="CL185" s="499" t="str">
        <f t="shared" si="49"/>
        <v/>
      </c>
      <c r="CM185" s="499" t="str">
        <f t="shared" si="49"/>
        <v/>
      </c>
      <c r="CN185" s="499" t="str">
        <f t="shared" si="49"/>
        <v/>
      </c>
      <c r="CO185" s="499">
        <f t="shared" si="49"/>
        <v>0</v>
      </c>
      <c r="CP185" s="499" t="str">
        <f t="shared" si="49"/>
        <v/>
      </c>
      <c r="CQ185" s="499" t="str">
        <f t="shared" si="49"/>
        <v/>
      </c>
      <c r="CR185" s="499" t="str">
        <f t="shared" si="49"/>
        <v/>
      </c>
      <c r="CS185" s="499" t="str">
        <f t="shared" si="49"/>
        <v/>
      </c>
      <c r="CT185" s="499" t="str">
        <f t="shared" si="49"/>
        <v/>
      </c>
      <c r="CU185" s="499" t="str">
        <f t="shared" ref="CU185:DZ185" si="50">IF(CU166=1, CU$151/CU$156, "")</f>
        <v/>
      </c>
      <c r="CV185" s="499" t="str">
        <f t="shared" si="50"/>
        <v/>
      </c>
      <c r="CW185" s="499">
        <f t="shared" si="50"/>
        <v>129542.91666666667</v>
      </c>
      <c r="CX185" s="499">
        <f t="shared" si="50"/>
        <v>17277.327666666664</v>
      </c>
      <c r="CY185" s="499" t="str">
        <f t="shared" si="50"/>
        <v/>
      </c>
      <c r="CZ185" s="499" t="str">
        <f t="shared" si="50"/>
        <v/>
      </c>
      <c r="DA185" s="499" t="str">
        <f t="shared" si="50"/>
        <v/>
      </c>
      <c r="DB185" s="499">
        <f t="shared" si="50"/>
        <v>1991.6666666666667</v>
      </c>
      <c r="DC185" s="499">
        <f t="shared" si="50"/>
        <v>43123.9375</v>
      </c>
      <c r="DD185" s="499" t="str">
        <f t="shared" si="50"/>
        <v/>
      </c>
      <c r="DE185" s="499">
        <f t="shared" si="50"/>
        <v>570383.32615384622</v>
      </c>
      <c r="DF185" s="499" t="str">
        <f t="shared" si="50"/>
        <v/>
      </c>
      <c r="DG185" s="499">
        <f t="shared" si="50"/>
        <v>413318.33333333331</v>
      </c>
      <c r="DH185" s="499" t="str">
        <f t="shared" si="50"/>
        <v/>
      </c>
      <c r="DI185" s="499" t="str">
        <f t="shared" si="50"/>
        <v/>
      </c>
      <c r="DJ185" s="499">
        <f t="shared" si="50"/>
        <v>0</v>
      </c>
      <c r="DK185" s="499">
        <f t="shared" si="50"/>
        <v>0</v>
      </c>
      <c r="DL185" s="499" t="str">
        <f t="shared" si="50"/>
        <v/>
      </c>
      <c r="DM185" s="499" t="str">
        <f t="shared" si="50"/>
        <v/>
      </c>
      <c r="DN185" s="499" t="str">
        <f t="shared" si="50"/>
        <v/>
      </c>
      <c r="DO185" s="499" t="str">
        <f t="shared" si="50"/>
        <v/>
      </c>
      <c r="DP185" s="499" t="str">
        <f t="shared" si="50"/>
        <v/>
      </c>
      <c r="DQ185" s="499">
        <f t="shared" si="50"/>
        <v>0</v>
      </c>
      <c r="DR185" s="499" t="str">
        <f t="shared" si="50"/>
        <v/>
      </c>
      <c r="DS185" s="499" t="str">
        <f t="shared" si="50"/>
        <v/>
      </c>
      <c r="DT185" s="499" t="str">
        <f t="shared" si="50"/>
        <v/>
      </c>
      <c r="DU185" s="499" t="str">
        <f t="shared" si="50"/>
        <v/>
      </c>
      <c r="DV185" s="499" t="str">
        <f t="shared" si="50"/>
        <v/>
      </c>
      <c r="DW185" s="499" t="str">
        <f t="shared" si="50"/>
        <v/>
      </c>
      <c r="DX185" s="499" t="str">
        <f t="shared" si="50"/>
        <v/>
      </c>
      <c r="DY185" s="499" t="str">
        <f t="shared" si="50"/>
        <v/>
      </c>
      <c r="DZ185" s="499" t="str">
        <f t="shared" si="50"/>
        <v/>
      </c>
      <c r="EA185" s="499" t="str">
        <f t="shared" ref="EA185:EI185" si="51">IF(EA166=1, EA$151/EA$156, "")</f>
        <v/>
      </c>
      <c r="EB185" s="499" t="str">
        <f t="shared" si="51"/>
        <v/>
      </c>
      <c r="EC185" s="499" t="str">
        <f t="shared" si="51"/>
        <v/>
      </c>
      <c r="ED185" s="499" t="str">
        <f t="shared" si="51"/>
        <v/>
      </c>
      <c r="EE185" s="499">
        <f t="shared" si="51"/>
        <v>0</v>
      </c>
      <c r="EF185" s="499">
        <f t="shared" si="51"/>
        <v>192686.66666666666</v>
      </c>
      <c r="EG185" s="499" t="str">
        <f t="shared" si="51"/>
        <v/>
      </c>
      <c r="EH185" s="499" t="str">
        <f t="shared" si="51"/>
        <v/>
      </c>
      <c r="EI185" s="499">
        <f t="shared" si="51"/>
        <v>0</v>
      </c>
      <c r="EJ185" s="499">
        <f t="shared" si="16"/>
        <v>2020373.3883626375</v>
      </c>
      <c r="EK185" s="67"/>
      <c r="EL185" s="67"/>
      <c r="EM185" s="67"/>
      <c r="EN185" s="67"/>
      <c r="EO185" s="67"/>
      <c r="EP185" s="67"/>
      <c r="EQ185" s="67"/>
      <c r="ER185" s="67"/>
      <c r="ES185" s="67"/>
      <c r="ET185" s="67"/>
      <c r="EU185" s="67"/>
      <c r="EV185" s="67"/>
      <c r="EW185" s="67"/>
      <c r="EX185" s="67"/>
      <c r="EY185" s="67"/>
      <c r="EZ185" s="67"/>
    </row>
    <row r="186" spans="1:156">
      <c r="B186" s="500" t="s">
        <v>87</v>
      </c>
      <c r="C186" s="499" t="str">
        <f t="shared" ref="C186:AH186" si="52">IF(C167=1, C$151/C$156, "")</f>
        <v/>
      </c>
      <c r="D186" s="499" t="str">
        <f t="shared" si="52"/>
        <v/>
      </c>
      <c r="E186" s="499" t="str">
        <f t="shared" si="52"/>
        <v/>
      </c>
      <c r="F186" s="499" t="str">
        <f t="shared" si="52"/>
        <v/>
      </c>
      <c r="G186" s="499">
        <f t="shared" si="52"/>
        <v>304898.33333333331</v>
      </c>
      <c r="H186" s="499">
        <f t="shared" si="52"/>
        <v>17291.6875</v>
      </c>
      <c r="I186" s="499" t="str">
        <f t="shared" si="52"/>
        <v/>
      </c>
      <c r="J186" s="499" t="str">
        <f t="shared" si="52"/>
        <v/>
      </c>
      <c r="K186" s="499" t="str">
        <f t="shared" si="52"/>
        <v/>
      </c>
      <c r="L186" s="499" t="str">
        <f t="shared" si="52"/>
        <v/>
      </c>
      <c r="M186" s="499" t="str">
        <f t="shared" si="52"/>
        <v/>
      </c>
      <c r="N186" s="499">
        <f t="shared" si="52"/>
        <v>0</v>
      </c>
      <c r="O186" s="499" t="str">
        <f t="shared" si="52"/>
        <v/>
      </c>
      <c r="P186" s="499" t="str">
        <f t="shared" si="52"/>
        <v/>
      </c>
      <c r="Q186" s="499" t="str">
        <f t="shared" si="52"/>
        <v/>
      </c>
      <c r="R186" s="499" t="str">
        <f t="shared" si="52"/>
        <v/>
      </c>
      <c r="S186" s="499" t="str">
        <f t="shared" si="52"/>
        <v/>
      </c>
      <c r="T186" s="499">
        <f t="shared" si="52"/>
        <v>0</v>
      </c>
      <c r="U186" s="499" t="str">
        <f t="shared" si="52"/>
        <v/>
      </c>
      <c r="V186" s="499" t="str">
        <f t="shared" si="52"/>
        <v/>
      </c>
      <c r="W186" s="499" t="str">
        <f t="shared" si="52"/>
        <v/>
      </c>
      <c r="X186" s="499">
        <f t="shared" si="52"/>
        <v>440917.5</v>
      </c>
      <c r="Y186" s="499" t="str">
        <f t="shared" si="52"/>
        <v/>
      </c>
      <c r="Z186" s="499">
        <f t="shared" si="52"/>
        <v>0</v>
      </c>
      <c r="AA186" s="499" t="str">
        <f t="shared" si="52"/>
        <v/>
      </c>
      <c r="AB186" s="499" t="str">
        <f t="shared" si="52"/>
        <v/>
      </c>
      <c r="AC186" s="499" t="str">
        <f t="shared" si="52"/>
        <v/>
      </c>
      <c r="AD186" s="499" t="str">
        <f t="shared" si="52"/>
        <v/>
      </c>
      <c r="AE186" s="499" t="str">
        <f t="shared" si="52"/>
        <v/>
      </c>
      <c r="AF186" s="499" t="str">
        <f t="shared" si="52"/>
        <v/>
      </c>
      <c r="AG186" s="499" t="str">
        <f t="shared" si="52"/>
        <v/>
      </c>
      <c r="AH186" s="499">
        <f t="shared" si="52"/>
        <v>0</v>
      </c>
      <c r="AI186" s="499" t="str">
        <f t="shared" ref="AI186:BN186" si="53">IF(AI167=1, AI$151/AI$156, "")</f>
        <v/>
      </c>
      <c r="AJ186" s="499" t="str">
        <f t="shared" si="53"/>
        <v/>
      </c>
      <c r="AK186" s="499" t="str">
        <f t="shared" si="53"/>
        <v/>
      </c>
      <c r="AL186" s="499">
        <f t="shared" si="53"/>
        <v>0</v>
      </c>
      <c r="AM186" s="499" t="str">
        <f t="shared" si="53"/>
        <v/>
      </c>
      <c r="AN186" s="499" t="str">
        <f t="shared" si="53"/>
        <v/>
      </c>
      <c r="AO186" s="499">
        <f t="shared" si="53"/>
        <v>24179.443333333333</v>
      </c>
      <c r="AP186" s="499">
        <f t="shared" si="53"/>
        <v>0</v>
      </c>
      <c r="AQ186" s="499" t="str">
        <f t="shared" si="53"/>
        <v/>
      </c>
      <c r="AR186" s="499" t="str">
        <f t="shared" si="53"/>
        <v/>
      </c>
      <c r="AS186" s="499">
        <f t="shared" si="53"/>
        <v>0</v>
      </c>
      <c r="AT186" s="499" t="str">
        <f t="shared" si="53"/>
        <v/>
      </c>
      <c r="AU186" s="499" t="str">
        <f t="shared" si="53"/>
        <v/>
      </c>
      <c r="AV186" s="499" t="str">
        <f t="shared" si="53"/>
        <v/>
      </c>
      <c r="AW186" s="499" t="str">
        <f t="shared" si="53"/>
        <v/>
      </c>
      <c r="AX186" s="499">
        <f t="shared" si="53"/>
        <v>0</v>
      </c>
      <c r="AY186" s="499">
        <f t="shared" si="53"/>
        <v>20249.5</v>
      </c>
      <c r="AZ186" s="499" t="str">
        <f t="shared" si="53"/>
        <v/>
      </c>
      <c r="BA186" s="499" t="str">
        <f t="shared" si="53"/>
        <v/>
      </c>
      <c r="BB186" s="499">
        <f t="shared" si="53"/>
        <v>5745.75</v>
      </c>
      <c r="BC186" s="499">
        <f t="shared" si="53"/>
        <v>76923.076923076922</v>
      </c>
      <c r="BD186" s="499" t="str">
        <f t="shared" si="53"/>
        <v/>
      </c>
      <c r="BE186" s="499">
        <f t="shared" si="53"/>
        <v>0</v>
      </c>
      <c r="BF186" s="499" t="str">
        <f t="shared" si="53"/>
        <v/>
      </c>
      <c r="BG186" s="499">
        <f t="shared" si="53"/>
        <v>0</v>
      </c>
      <c r="BH186" s="499" t="str">
        <f t="shared" si="53"/>
        <v/>
      </c>
      <c r="BI186" s="499" t="str">
        <f t="shared" si="53"/>
        <v/>
      </c>
      <c r="BJ186" s="499" t="str">
        <f t="shared" si="53"/>
        <v/>
      </c>
      <c r="BK186" s="499" t="str">
        <f t="shared" si="53"/>
        <v/>
      </c>
      <c r="BL186" s="499" t="str">
        <f t="shared" si="53"/>
        <v/>
      </c>
      <c r="BM186" s="499" t="str">
        <f t="shared" si="53"/>
        <v/>
      </c>
      <c r="BN186" s="499" t="str">
        <f t="shared" si="53"/>
        <v/>
      </c>
      <c r="BO186" s="499" t="str">
        <f t="shared" ref="BO186:CT186" si="54">IF(BO167=1, BO$151/BO$156, "")</f>
        <v/>
      </c>
      <c r="BP186" s="499">
        <f t="shared" si="54"/>
        <v>0</v>
      </c>
      <c r="BQ186" s="499" t="str">
        <f t="shared" si="54"/>
        <v/>
      </c>
      <c r="BR186" s="499">
        <f t="shared" si="54"/>
        <v>0</v>
      </c>
      <c r="BS186" s="499" t="str">
        <f t="shared" si="54"/>
        <v/>
      </c>
      <c r="BT186" s="499" t="str">
        <f t="shared" si="54"/>
        <v/>
      </c>
      <c r="BU186" s="499" t="str">
        <f t="shared" si="54"/>
        <v/>
      </c>
      <c r="BV186" s="499">
        <f t="shared" si="54"/>
        <v>0</v>
      </c>
      <c r="BW186" s="499" t="str">
        <f t="shared" si="54"/>
        <v/>
      </c>
      <c r="BX186" s="499" t="str">
        <f t="shared" si="54"/>
        <v/>
      </c>
      <c r="BY186" s="499" t="str">
        <f t="shared" si="54"/>
        <v/>
      </c>
      <c r="BZ186" s="499" t="str">
        <f t="shared" si="54"/>
        <v/>
      </c>
      <c r="CA186" s="499" t="str">
        <f t="shared" si="54"/>
        <v/>
      </c>
      <c r="CB186" s="499" t="str">
        <f t="shared" si="54"/>
        <v/>
      </c>
      <c r="CC186" s="499" t="str">
        <f t="shared" si="54"/>
        <v/>
      </c>
      <c r="CD186" s="499">
        <f t="shared" si="54"/>
        <v>333.33333333333331</v>
      </c>
      <c r="CE186" s="499" t="str">
        <f t="shared" si="54"/>
        <v/>
      </c>
      <c r="CF186" s="499" t="str">
        <f t="shared" si="54"/>
        <v/>
      </c>
      <c r="CG186" s="499" t="str">
        <f t="shared" si="54"/>
        <v/>
      </c>
      <c r="CH186" s="499" t="str">
        <f t="shared" si="54"/>
        <v/>
      </c>
      <c r="CI186" s="499" t="str">
        <f t="shared" si="54"/>
        <v/>
      </c>
      <c r="CJ186" s="499" t="str">
        <f t="shared" si="54"/>
        <v/>
      </c>
      <c r="CK186" s="499" t="str">
        <f t="shared" si="54"/>
        <v/>
      </c>
      <c r="CL186" s="499" t="str">
        <f t="shared" si="54"/>
        <v/>
      </c>
      <c r="CM186" s="499" t="str">
        <f t="shared" si="54"/>
        <v/>
      </c>
      <c r="CN186" s="499" t="str">
        <f t="shared" si="54"/>
        <v/>
      </c>
      <c r="CO186" s="499">
        <f t="shared" si="54"/>
        <v>0</v>
      </c>
      <c r="CP186" s="499" t="str">
        <f t="shared" si="54"/>
        <v/>
      </c>
      <c r="CQ186" s="499" t="str">
        <f t="shared" si="54"/>
        <v/>
      </c>
      <c r="CR186" s="499" t="str">
        <f t="shared" si="54"/>
        <v/>
      </c>
      <c r="CS186" s="499" t="str">
        <f t="shared" si="54"/>
        <v/>
      </c>
      <c r="CT186" s="499" t="str">
        <f t="shared" si="54"/>
        <v/>
      </c>
      <c r="CU186" s="499" t="str">
        <f t="shared" ref="CU186:DZ186" si="55">IF(CU167=1, CU$151/CU$156, "")</f>
        <v/>
      </c>
      <c r="CV186" s="499">
        <f t="shared" si="55"/>
        <v>2061.875</v>
      </c>
      <c r="CW186" s="499">
        <f t="shared" si="55"/>
        <v>129542.91666666667</v>
      </c>
      <c r="CX186" s="499">
        <f t="shared" si="55"/>
        <v>17277.327666666664</v>
      </c>
      <c r="CY186" s="499" t="str">
        <f t="shared" si="55"/>
        <v/>
      </c>
      <c r="CZ186" s="499" t="str">
        <f t="shared" si="55"/>
        <v/>
      </c>
      <c r="DA186" s="499" t="str">
        <f t="shared" si="55"/>
        <v/>
      </c>
      <c r="DB186" s="499">
        <f t="shared" si="55"/>
        <v>1991.6666666666667</v>
      </c>
      <c r="DC186" s="499">
        <f t="shared" si="55"/>
        <v>43123.9375</v>
      </c>
      <c r="DD186" s="499" t="str">
        <f t="shared" si="55"/>
        <v/>
      </c>
      <c r="DE186" s="499">
        <f t="shared" si="55"/>
        <v>570383.32615384622</v>
      </c>
      <c r="DF186" s="499">
        <f t="shared" si="55"/>
        <v>57422</v>
      </c>
      <c r="DG186" s="499">
        <f t="shared" si="55"/>
        <v>413318.33333333331</v>
      </c>
      <c r="DH186" s="499" t="str">
        <f t="shared" si="55"/>
        <v/>
      </c>
      <c r="DI186" s="499" t="str">
        <f t="shared" si="55"/>
        <v/>
      </c>
      <c r="DJ186" s="499">
        <f t="shared" si="55"/>
        <v>0</v>
      </c>
      <c r="DK186" s="499">
        <f t="shared" si="55"/>
        <v>0</v>
      </c>
      <c r="DL186" s="499" t="str">
        <f t="shared" si="55"/>
        <v/>
      </c>
      <c r="DM186" s="499">
        <f t="shared" si="55"/>
        <v>0</v>
      </c>
      <c r="DN186" s="499" t="str">
        <f t="shared" si="55"/>
        <v/>
      </c>
      <c r="DO186" s="499" t="str">
        <f t="shared" si="55"/>
        <v/>
      </c>
      <c r="DP186" s="499" t="str">
        <f t="shared" si="55"/>
        <v/>
      </c>
      <c r="DQ186" s="499" t="str">
        <f t="shared" si="55"/>
        <v/>
      </c>
      <c r="DR186" s="499" t="str">
        <f t="shared" si="55"/>
        <v/>
      </c>
      <c r="DS186" s="499" t="str">
        <f t="shared" si="55"/>
        <v/>
      </c>
      <c r="DT186" s="499" t="str">
        <f t="shared" si="55"/>
        <v/>
      </c>
      <c r="DU186" s="499" t="str">
        <f t="shared" si="55"/>
        <v/>
      </c>
      <c r="DV186" s="499" t="str">
        <f t="shared" si="55"/>
        <v/>
      </c>
      <c r="DW186" s="499" t="str">
        <f t="shared" si="55"/>
        <v/>
      </c>
      <c r="DX186" s="499" t="str">
        <f t="shared" si="55"/>
        <v/>
      </c>
      <c r="DY186" s="499" t="str">
        <f t="shared" si="55"/>
        <v/>
      </c>
      <c r="DZ186" s="499" t="str">
        <f t="shared" si="55"/>
        <v/>
      </c>
      <c r="EA186" s="499" t="str">
        <f t="shared" ref="EA186:EI186" si="56">IF(EA167=1, EA$151/EA$156, "")</f>
        <v/>
      </c>
      <c r="EB186" s="499" t="str">
        <f t="shared" si="56"/>
        <v/>
      </c>
      <c r="EC186" s="499" t="str">
        <f t="shared" si="56"/>
        <v/>
      </c>
      <c r="ED186" s="499" t="str">
        <f t="shared" si="56"/>
        <v/>
      </c>
      <c r="EE186" s="499">
        <f t="shared" si="56"/>
        <v>0</v>
      </c>
      <c r="EF186" s="499">
        <f t="shared" si="56"/>
        <v>192686.66666666666</v>
      </c>
      <c r="EG186" s="499">
        <f t="shared" si="56"/>
        <v>62450</v>
      </c>
      <c r="EH186" s="499">
        <f t="shared" si="56"/>
        <v>60406.25</v>
      </c>
      <c r="EI186" s="499">
        <f t="shared" si="56"/>
        <v>0</v>
      </c>
      <c r="EJ186" s="499">
        <f t="shared" si="16"/>
        <v>2441202.9240769227</v>
      </c>
      <c r="EK186" s="67"/>
      <c r="EL186" s="67"/>
      <c r="EM186" s="67"/>
      <c r="EN186" s="67"/>
      <c r="EO186" s="67"/>
      <c r="EP186" s="67"/>
      <c r="EQ186" s="67"/>
      <c r="ER186" s="67"/>
      <c r="ES186" s="67"/>
      <c r="ET186" s="67"/>
      <c r="EU186" s="67"/>
      <c r="EV186" s="67"/>
      <c r="EW186" s="67"/>
      <c r="EX186" s="67"/>
      <c r="EY186" s="67"/>
      <c r="EZ186" s="67"/>
    </row>
    <row r="187" spans="1:156">
      <c r="B187" s="500" t="s">
        <v>89</v>
      </c>
      <c r="C187" s="499" t="str">
        <f t="shared" ref="C187:AH187" si="57">IF(C168=1, C$151/C$156, "")</f>
        <v/>
      </c>
      <c r="D187" s="499" t="str">
        <f t="shared" si="57"/>
        <v/>
      </c>
      <c r="E187" s="499" t="str">
        <f t="shared" si="57"/>
        <v/>
      </c>
      <c r="F187" s="499" t="str">
        <f t="shared" si="57"/>
        <v/>
      </c>
      <c r="G187" s="499">
        <f t="shared" si="57"/>
        <v>304898.33333333331</v>
      </c>
      <c r="H187" s="499">
        <f t="shared" si="57"/>
        <v>17291.6875</v>
      </c>
      <c r="I187" s="499" t="str">
        <f t="shared" si="57"/>
        <v/>
      </c>
      <c r="J187" s="499" t="str">
        <f t="shared" si="57"/>
        <v/>
      </c>
      <c r="K187" s="499" t="str">
        <f t="shared" si="57"/>
        <v/>
      </c>
      <c r="L187" s="499" t="str">
        <f t="shared" si="57"/>
        <v/>
      </c>
      <c r="M187" s="499" t="str">
        <f t="shared" si="57"/>
        <v/>
      </c>
      <c r="N187" s="499" t="str">
        <f t="shared" si="57"/>
        <v/>
      </c>
      <c r="O187" s="499" t="str">
        <f t="shared" si="57"/>
        <v/>
      </c>
      <c r="P187" s="499" t="str">
        <f t="shared" si="57"/>
        <v/>
      </c>
      <c r="Q187" s="499" t="str">
        <f t="shared" si="57"/>
        <v/>
      </c>
      <c r="R187" s="499" t="str">
        <f t="shared" si="57"/>
        <v/>
      </c>
      <c r="S187" s="499">
        <f t="shared" si="57"/>
        <v>0</v>
      </c>
      <c r="T187" s="499" t="str">
        <f t="shared" si="57"/>
        <v/>
      </c>
      <c r="U187" s="499" t="str">
        <f t="shared" si="57"/>
        <v/>
      </c>
      <c r="V187" s="499" t="str">
        <f t="shared" si="57"/>
        <v/>
      </c>
      <c r="W187" s="499" t="str">
        <f t="shared" si="57"/>
        <v/>
      </c>
      <c r="X187" s="499">
        <f t="shared" si="57"/>
        <v>440917.5</v>
      </c>
      <c r="Y187" s="499" t="str">
        <f t="shared" si="57"/>
        <v/>
      </c>
      <c r="Z187" s="499">
        <f t="shared" si="57"/>
        <v>0</v>
      </c>
      <c r="AA187" s="499">
        <f t="shared" si="57"/>
        <v>38230</v>
      </c>
      <c r="AB187" s="499" t="str">
        <f t="shared" si="57"/>
        <v/>
      </c>
      <c r="AC187" s="499" t="str">
        <f t="shared" si="57"/>
        <v/>
      </c>
      <c r="AD187" s="499" t="str">
        <f t="shared" si="57"/>
        <v/>
      </c>
      <c r="AE187" s="499" t="str">
        <f t="shared" si="57"/>
        <v/>
      </c>
      <c r="AF187" s="499" t="str">
        <f t="shared" si="57"/>
        <v/>
      </c>
      <c r="AG187" s="499" t="str">
        <f t="shared" si="57"/>
        <v/>
      </c>
      <c r="AH187" s="499">
        <f t="shared" si="57"/>
        <v>0</v>
      </c>
      <c r="AI187" s="499" t="str">
        <f t="shared" ref="AI187:BN187" si="58">IF(AI168=1, AI$151/AI$156, "")</f>
        <v/>
      </c>
      <c r="AJ187" s="499" t="str">
        <f t="shared" si="58"/>
        <v/>
      </c>
      <c r="AK187" s="499">
        <f t="shared" si="58"/>
        <v>0</v>
      </c>
      <c r="AL187" s="499" t="str">
        <f t="shared" si="58"/>
        <v/>
      </c>
      <c r="AM187" s="499">
        <f t="shared" si="58"/>
        <v>14507.666000000001</v>
      </c>
      <c r="AN187" s="499" t="str">
        <f t="shared" si="58"/>
        <v/>
      </c>
      <c r="AO187" s="499" t="str">
        <f t="shared" si="58"/>
        <v/>
      </c>
      <c r="AP187" s="499" t="str">
        <f t="shared" si="58"/>
        <v/>
      </c>
      <c r="AQ187" s="499" t="str">
        <f t="shared" si="58"/>
        <v/>
      </c>
      <c r="AR187" s="499" t="str">
        <f t="shared" si="58"/>
        <v/>
      </c>
      <c r="AS187" s="499">
        <f t="shared" si="58"/>
        <v>0</v>
      </c>
      <c r="AT187" s="499" t="str">
        <f t="shared" si="58"/>
        <v/>
      </c>
      <c r="AU187" s="499">
        <f t="shared" si="58"/>
        <v>187.375</v>
      </c>
      <c r="AV187" s="499" t="str">
        <f t="shared" si="58"/>
        <v/>
      </c>
      <c r="AW187" s="499" t="str">
        <f t="shared" si="58"/>
        <v/>
      </c>
      <c r="AX187" s="499" t="str">
        <f t="shared" si="58"/>
        <v/>
      </c>
      <c r="AY187" s="499">
        <f t="shared" si="58"/>
        <v>20249.5</v>
      </c>
      <c r="AZ187" s="499" t="str">
        <f t="shared" si="58"/>
        <v/>
      </c>
      <c r="BA187" s="499" t="str">
        <f t="shared" si="58"/>
        <v/>
      </c>
      <c r="BB187" s="499">
        <f t="shared" si="58"/>
        <v>5745.75</v>
      </c>
      <c r="BC187" s="499">
        <f t="shared" si="58"/>
        <v>76923.076923076922</v>
      </c>
      <c r="BD187" s="499" t="str">
        <f t="shared" si="58"/>
        <v/>
      </c>
      <c r="BE187" s="499" t="str">
        <f t="shared" si="58"/>
        <v/>
      </c>
      <c r="BF187" s="499" t="str">
        <f t="shared" si="58"/>
        <v/>
      </c>
      <c r="BG187" s="499" t="str">
        <f t="shared" si="58"/>
        <v/>
      </c>
      <c r="BH187" s="499" t="str">
        <f t="shared" si="58"/>
        <v/>
      </c>
      <c r="BI187" s="499" t="str">
        <f t="shared" si="58"/>
        <v/>
      </c>
      <c r="BJ187" s="499" t="str">
        <f t="shared" si="58"/>
        <v/>
      </c>
      <c r="BK187" s="499" t="str">
        <f t="shared" si="58"/>
        <v/>
      </c>
      <c r="BL187" s="499" t="str">
        <f t="shared" si="58"/>
        <v/>
      </c>
      <c r="BM187" s="499" t="str">
        <f t="shared" si="58"/>
        <v/>
      </c>
      <c r="BN187" s="499">
        <f t="shared" si="58"/>
        <v>0</v>
      </c>
      <c r="BO187" s="499" t="str">
        <f t="shared" ref="BO187:CT187" si="59">IF(BO168=1, BO$151/BO$156, "")</f>
        <v/>
      </c>
      <c r="BP187" s="499">
        <f t="shared" si="59"/>
        <v>0</v>
      </c>
      <c r="BQ187" s="499" t="str">
        <f t="shared" si="59"/>
        <v/>
      </c>
      <c r="BR187" s="499" t="str">
        <f t="shared" si="59"/>
        <v/>
      </c>
      <c r="BS187" s="499" t="str">
        <f t="shared" si="59"/>
        <v/>
      </c>
      <c r="BT187" s="499" t="str">
        <f t="shared" si="59"/>
        <v/>
      </c>
      <c r="BU187" s="499">
        <f t="shared" si="59"/>
        <v>0</v>
      </c>
      <c r="BV187" s="499" t="str">
        <f t="shared" si="59"/>
        <v/>
      </c>
      <c r="BW187" s="499" t="str">
        <f t="shared" si="59"/>
        <v/>
      </c>
      <c r="BX187" s="499" t="str">
        <f t="shared" si="59"/>
        <v/>
      </c>
      <c r="BY187" s="499" t="str">
        <f t="shared" si="59"/>
        <v/>
      </c>
      <c r="BZ187" s="499" t="str">
        <f t="shared" si="59"/>
        <v/>
      </c>
      <c r="CA187" s="499" t="str">
        <f t="shared" si="59"/>
        <v/>
      </c>
      <c r="CB187" s="499" t="str">
        <f t="shared" si="59"/>
        <v/>
      </c>
      <c r="CC187" s="499">
        <f t="shared" si="59"/>
        <v>200</v>
      </c>
      <c r="CD187" s="499" t="str">
        <f t="shared" si="59"/>
        <v/>
      </c>
      <c r="CE187" s="499" t="str">
        <f t="shared" si="59"/>
        <v/>
      </c>
      <c r="CF187" s="499">
        <f t="shared" si="59"/>
        <v>0</v>
      </c>
      <c r="CG187" s="499" t="str">
        <f t="shared" si="59"/>
        <v/>
      </c>
      <c r="CH187" s="499" t="str">
        <f t="shared" si="59"/>
        <v/>
      </c>
      <c r="CI187" s="499" t="str">
        <f t="shared" si="59"/>
        <v/>
      </c>
      <c r="CJ187" s="499" t="str">
        <f t="shared" si="59"/>
        <v/>
      </c>
      <c r="CK187" s="499" t="str">
        <f t="shared" si="59"/>
        <v/>
      </c>
      <c r="CL187" s="499" t="str">
        <f t="shared" si="59"/>
        <v/>
      </c>
      <c r="CM187" s="499" t="str">
        <f t="shared" si="59"/>
        <v/>
      </c>
      <c r="CN187" s="499" t="str">
        <f t="shared" si="59"/>
        <v/>
      </c>
      <c r="CO187" s="499">
        <f t="shared" si="59"/>
        <v>0</v>
      </c>
      <c r="CP187" s="499" t="str">
        <f t="shared" si="59"/>
        <v/>
      </c>
      <c r="CQ187" s="499" t="str">
        <f t="shared" si="59"/>
        <v/>
      </c>
      <c r="CR187" s="499" t="str">
        <f t="shared" si="59"/>
        <v/>
      </c>
      <c r="CS187" s="499" t="str">
        <f t="shared" si="59"/>
        <v/>
      </c>
      <c r="CT187" s="499" t="str">
        <f t="shared" si="59"/>
        <v/>
      </c>
      <c r="CU187" s="499" t="str">
        <f t="shared" ref="CU187:DZ187" si="60">IF(CU168=1, CU$151/CU$156, "")</f>
        <v/>
      </c>
      <c r="CV187" s="499" t="str">
        <f t="shared" si="60"/>
        <v/>
      </c>
      <c r="CW187" s="499">
        <f t="shared" si="60"/>
        <v>129542.91666666667</v>
      </c>
      <c r="CX187" s="499">
        <f t="shared" si="60"/>
        <v>17277.327666666664</v>
      </c>
      <c r="CY187" s="499" t="str">
        <f t="shared" si="60"/>
        <v/>
      </c>
      <c r="CZ187" s="499" t="str">
        <f t="shared" si="60"/>
        <v/>
      </c>
      <c r="DA187" s="499" t="str">
        <f t="shared" si="60"/>
        <v/>
      </c>
      <c r="DB187" s="499">
        <f t="shared" si="60"/>
        <v>1991.6666666666667</v>
      </c>
      <c r="DC187" s="499">
        <f t="shared" si="60"/>
        <v>43123.9375</v>
      </c>
      <c r="DD187" s="499" t="str">
        <f t="shared" si="60"/>
        <v/>
      </c>
      <c r="DE187" s="499">
        <f t="shared" si="60"/>
        <v>570383.32615384622</v>
      </c>
      <c r="DF187" s="499" t="str">
        <f t="shared" si="60"/>
        <v/>
      </c>
      <c r="DG187" s="499" t="str">
        <f t="shared" si="60"/>
        <v/>
      </c>
      <c r="DH187" s="499" t="str">
        <f t="shared" si="60"/>
        <v/>
      </c>
      <c r="DI187" s="499">
        <f t="shared" si="60"/>
        <v>0</v>
      </c>
      <c r="DJ187" s="499" t="str">
        <f t="shared" si="60"/>
        <v/>
      </c>
      <c r="DK187" s="499">
        <f t="shared" si="60"/>
        <v>0</v>
      </c>
      <c r="DL187" s="499" t="str">
        <f t="shared" si="60"/>
        <v/>
      </c>
      <c r="DM187" s="499" t="str">
        <f t="shared" si="60"/>
        <v/>
      </c>
      <c r="DN187" s="499" t="str">
        <f t="shared" si="60"/>
        <v/>
      </c>
      <c r="DO187" s="499" t="str">
        <f t="shared" si="60"/>
        <v/>
      </c>
      <c r="DP187" s="499" t="str">
        <f t="shared" si="60"/>
        <v/>
      </c>
      <c r="DQ187" s="499" t="str">
        <f t="shared" si="60"/>
        <v/>
      </c>
      <c r="DR187" s="499" t="str">
        <f t="shared" si="60"/>
        <v/>
      </c>
      <c r="DS187" s="499" t="str">
        <f t="shared" si="60"/>
        <v/>
      </c>
      <c r="DT187" s="499">
        <f t="shared" si="60"/>
        <v>0</v>
      </c>
      <c r="DU187" s="499" t="str">
        <f t="shared" si="60"/>
        <v/>
      </c>
      <c r="DV187" s="499" t="str">
        <f t="shared" si="60"/>
        <v/>
      </c>
      <c r="DW187" s="499" t="str">
        <f t="shared" si="60"/>
        <v/>
      </c>
      <c r="DX187" s="499" t="str">
        <f t="shared" si="60"/>
        <v/>
      </c>
      <c r="DY187" s="499" t="str">
        <f t="shared" si="60"/>
        <v/>
      </c>
      <c r="DZ187" s="499" t="str">
        <f t="shared" si="60"/>
        <v/>
      </c>
      <c r="EA187" s="499" t="str">
        <f t="shared" ref="EA187:EI187" si="61">IF(EA168=1, EA$151/EA$156, "")</f>
        <v/>
      </c>
      <c r="EB187" s="499" t="str">
        <f t="shared" si="61"/>
        <v/>
      </c>
      <c r="EC187" s="499" t="str">
        <f t="shared" si="61"/>
        <v/>
      </c>
      <c r="ED187" s="499" t="str">
        <f t="shared" si="61"/>
        <v/>
      </c>
      <c r="EE187" s="499">
        <f t="shared" si="61"/>
        <v>0</v>
      </c>
      <c r="EF187" s="499" t="str">
        <f t="shared" si="61"/>
        <v/>
      </c>
      <c r="EG187" s="499">
        <f t="shared" si="61"/>
        <v>62450</v>
      </c>
      <c r="EH187" s="499">
        <f t="shared" si="61"/>
        <v>60406.25</v>
      </c>
      <c r="EI187" s="499">
        <f t="shared" si="61"/>
        <v>0</v>
      </c>
      <c r="EJ187" s="499">
        <f t="shared" si="16"/>
        <v>1804326.3134102563</v>
      </c>
      <c r="EK187" s="67"/>
      <c r="EL187" s="67"/>
      <c r="EM187" s="67"/>
      <c r="EN187" s="67"/>
      <c r="EO187" s="67"/>
      <c r="EP187" s="67"/>
      <c r="EQ187" s="67"/>
      <c r="ER187" s="67"/>
      <c r="ES187" s="67"/>
      <c r="ET187" s="67"/>
      <c r="EU187" s="67"/>
      <c r="EV187" s="67"/>
      <c r="EW187" s="67"/>
      <c r="EX187" s="67"/>
      <c r="EY187" s="67"/>
      <c r="EZ187" s="67"/>
    </row>
    <row r="188" spans="1:156">
      <c r="B188" s="500" t="s">
        <v>91</v>
      </c>
      <c r="C188" s="499" t="str">
        <f t="shared" ref="C188:AH188" si="62">IF(C169=1, C$151/C$156, "")</f>
        <v/>
      </c>
      <c r="D188" s="499" t="str">
        <f t="shared" si="62"/>
        <v/>
      </c>
      <c r="E188" s="499" t="str">
        <f t="shared" si="62"/>
        <v/>
      </c>
      <c r="F188" s="499" t="str">
        <f t="shared" si="62"/>
        <v/>
      </c>
      <c r="G188" s="499" t="str">
        <f t="shared" si="62"/>
        <v/>
      </c>
      <c r="H188" s="499">
        <f t="shared" si="62"/>
        <v>17291.6875</v>
      </c>
      <c r="I188" s="499" t="str">
        <f t="shared" si="62"/>
        <v/>
      </c>
      <c r="J188" s="499" t="str">
        <f t="shared" si="62"/>
        <v/>
      </c>
      <c r="K188" s="499" t="str">
        <f t="shared" si="62"/>
        <v/>
      </c>
      <c r="L188" s="499" t="str">
        <f t="shared" si="62"/>
        <v/>
      </c>
      <c r="M188" s="499" t="str">
        <f t="shared" si="62"/>
        <v/>
      </c>
      <c r="N188" s="499">
        <f t="shared" si="62"/>
        <v>0</v>
      </c>
      <c r="O188" s="499" t="str">
        <f t="shared" si="62"/>
        <v/>
      </c>
      <c r="P188" s="499" t="str">
        <f t="shared" si="62"/>
        <v/>
      </c>
      <c r="Q188" s="499" t="str">
        <f t="shared" si="62"/>
        <v/>
      </c>
      <c r="R188" s="499" t="str">
        <f t="shared" si="62"/>
        <v/>
      </c>
      <c r="S188" s="499">
        <f t="shared" si="62"/>
        <v>0</v>
      </c>
      <c r="T188" s="499" t="str">
        <f t="shared" si="62"/>
        <v/>
      </c>
      <c r="U188" s="499" t="str">
        <f t="shared" si="62"/>
        <v/>
      </c>
      <c r="V188" s="499" t="str">
        <f t="shared" si="62"/>
        <v/>
      </c>
      <c r="W188" s="499" t="str">
        <f t="shared" si="62"/>
        <v/>
      </c>
      <c r="X188" s="499">
        <f t="shared" si="62"/>
        <v>440917.5</v>
      </c>
      <c r="Y188" s="499" t="str">
        <f t="shared" si="62"/>
        <v/>
      </c>
      <c r="Z188" s="499">
        <f t="shared" si="62"/>
        <v>0</v>
      </c>
      <c r="AA188" s="499">
        <f t="shared" si="62"/>
        <v>38230</v>
      </c>
      <c r="AB188" s="499" t="str">
        <f t="shared" si="62"/>
        <v/>
      </c>
      <c r="AC188" s="499" t="str">
        <f t="shared" si="62"/>
        <v/>
      </c>
      <c r="AD188" s="499" t="str">
        <f t="shared" si="62"/>
        <v/>
      </c>
      <c r="AE188" s="499" t="str">
        <f t="shared" si="62"/>
        <v/>
      </c>
      <c r="AF188" s="499" t="str">
        <f t="shared" si="62"/>
        <v/>
      </c>
      <c r="AG188" s="499" t="str">
        <f t="shared" si="62"/>
        <v/>
      </c>
      <c r="AH188" s="499">
        <f t="shared" si="62"/>
        <v>0</v>
      </c>
      <c r="AI188" s="499" t="str">
        <f t="shared" ref="AI188:BN188" si="63">IF(AI169=1, AI$151/AI$156, "")</f>
        <v/>
      </c>
      <c r="AJ188" s="499" t="str">
        <f t="shared" si="63"/>
        <v/>
      </c>
      <c r="AK188" s="499">
        <f t="shared" si="63"/>
        <v>0</v>
      </c>
      <c r="AL188" s="499" t="str">
        <f t="shared" si="63"/>
        <v/>
      </c>
      <c r="AM188" s="499">
        <f t="shared" si="63"/>
        <v>14507.666000000001</v>
      </c>
      <c r="AN188" s="499" t="str">
        <f t="shared" si="63"/>
        <v/>
      </c>
      <c r="AO188" s="499" t="str">
        <f t="shared" si="63"/>
        <v/>
      </c>
      <c r="AP188" s="499" t="str">
        <f t="shared" si="63"/>
        <v/>
      </c>
      <c r="AQ188" s="499" t="str">
        <f t="shared" si="63"/>
        <v/>
      </c>
      <c r="AR188" s="499" t="str">
        <f t="shared" si="63"/>
        <v/>
      </c>
      <c r="AS188" s="499">
        <f t="shared" si="63"/>
        <v>0</v>
      </c>
      <c r="AT188" s="499" t="str">
        <f t="shared" si="63"/>
        <v/>
      </c>
      <c r="AU188" s="499">
        <f t="shared" si="63"/>
        <v>187.375</v>
      </c>
      <c r="AV188" s="499" t="str">
        <f t="shared" si="63"/>
        <v/>
      </c>
      <c r="AW188" s="499" t="str">
        <f t="shared" si="63"/>
        <v/>
      </c>
      <c r="AX188" s="499" t="str">
        <f t="shared" si="63"/>
        <v/>
      </c>
      <c r="AY188" s="499">
        <f t="shared" si="63"/>
        <v>20249.5</v>
      </c>
      <c r="AZ188" s="499" t="str">
        <f t="shared" si="63"/>
        <v/>
      </c>
      <c r="BA188" s="499">
        <f t="shared" si="63"/>
        <v>2857.1428571428573</v>
      </c>
      <c r="BB188" s="499">
        <f t="shared" si="63"/>
        <v>5745.75</v>
      </c>
      <c r="BC188" s="499">
        <f t="shared" si="63"/>
        <v>76923.076923076922</v>
      </c>
      <c r="BD188" s="499">
        <f t="shared" si="63"/>
        <v>6928.5714285714284</v>
      </c>
      <c r="BE188" s="499" t="str">
        <f t="shared" si="63"/>
        <v/>
      </c>
      <c r="BF188" s="499" t="str">
        <f t="shared" si="63"/>
        <v/>
      </c>
      <c r="BG188" s="499" t="str">
        <f t="shared" si="63"/>
        <v/>
      </c>
      <c r="BH188" s="499" t="str">
        <f t="shared" si="63"/>
        <v/>
      </c>
      <c r="BI188" s="499" t="str">
        <f t="shared" si="63"/>
        <v/>
      </c>
      <c r="BJ188" s="499" t="str">
        <f t="shared" si="63"/>
        <v/>
      </c>
      <c r="BK188" s="499" t="str">
        <f t="shared" si="63"/>
        <v/>
      </c>
      <c r="BL188" s="499" t="str">
        <f t="shared" si="63"/>
        <v/>
      </c>
      <c r="BM188" s="499" t="str">
        <f t="shared" si="63"/>
        <v/>
      </c>
      <c r="BN188" s="499">
        <f t="shared" si="63"/>
        <v>0</v>
      </c>
      <c r="BO188" s="499" t="str">
        <f t="shared" ref="BO188:CT188" si="64">IF(BO169=1, BO$151/BO$156, "")</f>
        <v/>
      </c>
      <c r="BP188" s="499">
        <f t="shared" si="64"/>
        <v>0</v>
      </c>
      <c r="BQ188" s="499" t="str">
        <f t="shared" si="64"/>
        <v/>
      </c>
      <c r="BR188" s="499" t="str">
        <f t="shared" si="64"/>
        <v/>
      </c>
      <c r="BS188" s="499" t="str">
        <f t="shared" si="64"/>
        <v/>
      </c>
      <c r="BT188" s="499" t="str">
        <f t="shared" si="64"/>
        <v/>
      </c>
      <c r="BU188" s="499">
        <f t="shared" si="64"/>
        <v>0</v>
      </c>
      <c r="BV188" s="499" t="str">
        <f t="shared" si="64"/>
        <v/>
      </c>
      <c r="BW188" s="499" t="str">
        <f t="shared" si="64"/>
        <v/>
      </c>
      <c r="BX188" s="499" t="str">
        <f t="shared" si="64"/>
        <v/>
      </c>
      <c r="BY188" s="499" t="str">
        <f t="shared" si="64"/>
        <v/>
      </c>
      <c r="BZ188" s="499" t="str">
        <f t="shared" si="64"/>
        <v/>
      </c>
      <c r="CA188" s="499" t="str">
        <f t="shared" si="64"/>
        <v/>
      </c>
      <c r="CB188" s="499" t="str">
        <f t="shared" si="64"/>
        <v/>
      </c>
      <c r="CC188" s="499">
        <f t="shared" si="64"/>
        <v>200</v>
      </c>
      <c r="CD188" s="499" t="str">
        <f t="shared" si="64"/>
        <v/>
      </c>
      <c r="CE188" s="499" t="str">
        <f t="shared" si="64"/>
        <v/>
      </c>
      <c r="CF188" s="499">
        <f t="shared" si="64"/>
        <v>0</v>
      </c>
      <c r="CG188" s="499">
        <f t="shared" si="64"/>
        <v>189782.66666666666</v>
      </c>
      <c r="CH188" s="499" t="str">
        <f t="shared" si="64"/>
        <v/>
      </c>
      <c r="CI188" s="499">
        <f t="shared" si="64"/>
        <v>0</v>
      </c>
      <c r="CJ188" s="499" t="str">
        <f t="shared" si="64"/>
        <v/>
      </c>
      <c r="CK188" s="499">
        <f t="shared" si="64"/>
        <v>76074.444444444438</v>
      </c>
      <c r="CL188" s="499" t="str">
        <f t="shared" si="64"/>
        <v/>
      </c>
      <c r="CM188" s="499" t="str">
        <f t="shared" si="64"/>
        <v/>
      </c>
      <c r="CN188" s="499" t="str">
        <f t="shared" si="64"/>
        <v/>
      </c>
      <c r="CO188" s="499">
        <f t="shared" si="64"/>
        <v>0</v>
      </c>
      <c r="CP188" s="499" t="str">
        <f t="shared" si="64"/>
        <v/>
      </c>
      <c r="CQ188" s="499" t="str">
        <f t="shared" si="64"/>
        <v/>
      </c>
      <c r="CR188" s="499" t="str">
        <f t="shared" si="64"/>
        <v/>
      </c>
      <c r="CS188" s="499" t="str">
        <f t="shared" si="64"/>
        <v/>
      </c>
      <c r="CT188" s="499" t="str">
        <f t="shared" si="64"/>
        <v/>
      </c>
      <c r="CU188" s="499" t="str">
        <f t="shared" ref="CU188:DZ188" si="65">IF(CU169=1, CU$151/CU$156, "")</f>
        <v/>
      </c>
      <c r="CV188" s="499" t="str">
        <f t="shared" si="65"/>
        <v/>
      </c>
      <c r="CW188" s="499">
        <f t="shared" si="65"/>
        <v>129542.91666666667</v>
      </c>
      <c r="CX188" s="499">
        <f t="shared" si="65"/>
        <v>17277.327666666664</v>
      </c>
      <c r="CY188" s="499" t="str">
        <f t="shared" si="65"/>
        <v/>
      </c>
      <c r="CZ188" s="499" t="str">
        <f t="shared" si="65"/>
        <v/>
      </c>
      <c r="DA188" s="499" t="str">
        <f t="shared" si="65"/>
        <v/>
      </c>
      <c r="DB188" s="499">
        <f t="shared" si="65"/>
        <v>1991.6666666666667</v>
      </c>
      <c r="DC188" s="499">
        <f t="shared" si="65"/>
        <v>43123.9375</v>
      </c>
      <c r="DD188" s="499" t="str">
        <f t="shared" si="65"/>
        <v/>
      </c>
      <c r="DE188" s="499">
        <f t="shared" si="65"/>
        <v>570383.32615384622</v>
      </c>
      <c r="DF188" s="499">
        <f t="shared" si="65"/>
        <v>57422</v>
      </c>
      <c r="DG188" s="499" t="str">
        <f t="shared" si="65"/>
        <v/>
      </c>
      <c r="DH188" s="499" t="str">
        <f t="shared" si="65"/>
        <v/>
      </c>
      <c r="DI188" s="499">
        <f t="shared" si="65"/>
        <v>0</v>
      </c>
      <c r="DJ188" s="499" t="str">
        <f t="shared" si="65"/>
        <v/>
      </c>
      <c r="DK188" s="499">
        <f t="shared" si="65"/>
        <v>0</v>
      </c>
      <c r="DL188" s="499" t="str">
        <f t="shared" si="65"/>
        <v/>
      </c>
      <c r="DM188" s="499" t="str">
        <f t="shared" si="65"/>
        <v/>
      </c>
      <c r="DN188" s="499" t="str">
        <f t="shared" si="65"/>
        <v/>
      </c>
      <c r="DO188" s="499" t="str">
        <f t="shared" si="65"/>
        <v/>
      </c>
      <c r="DP188" s="499" t="str">
        <f t="shared" si="65"/>
        <v/>
      </c>
      <c r="DQ188" s="499" t="str">
        <f t="shared" si="65"/>
        <v/>
      </c>
      <c r="DR188" s="499" t="str">
        <f t="shared" si="65"/>
        <v/>
      </c>
      <c r="DS188" s="499" t="str">
        <f t="shared" si="65"/>
        <v/>
      </c>
      <c r="DT188" s="499">
        <f t="shared" si="65"/>
        <v>0</v>
      </c>
      <c r="DU188" s="499" t="str">
        <f t="shared" si="65"/>
        <v/>
      </c>
      <c r="DV188" s="499" t="str">
        <f t="shared" si="65"/>
        <v/>
      </c>
      <c r="DW188" s="499">
        <f t="shared" si="65"/>
        <v>0</v>
      </c>
      <c r="DX188" s="499" t="str">
        <f t="shared" si="65"/>
        <v/>
      </c>
      <c r="DY188" s="499" t="str">
        <f t="shared" si="65"/>
        <v/>
      </c>
      <c r="DZ188" s="499" t="str">
        <f t="shared" si="65"/>
        <v/>
      </c>
      <c r="EA188" s="499" t="str">
        <f t="shared" ref="EA188:EI188" si="66">IF(EA169=1, EA$151/EA$156, "")</f>
        <v/>
      </c>
      <c r="EB188" s="499" t="str">
        <f t="shared" si="66"/>
        <v/>
      </c>
      <c r="EC188" s="499" t="str">
        <f t="shared" si="66"/>
        <v/>
      </c>
      <c r="ED188" s="499" t="str">
        <f t="shared" si="66"/>
        <v/>
      </c>
      <c r="EE188" s="499">
        <f t="shared" si="66"/>
        <v>0</v>
      </c>
      <c r="EF188" s="499" t="str">
        <f t="shared" si="66"/>
        <v/>
      </c>
      <c r="EG188" s="499">
        <f t="shared" si="66"/>
        <v>62450</v>
      </c>
      <c r="EH188" s="499">
        <f t="shared" si="66"/>
        <v>60406.25</v>
      </c>
      <c r="EI188" s="499">
        <f t="shared" si="66"/>
        <v>0</v>
      </c>
      <c r="EJ188" s="499">
        <f t="shared" si="16"/>
        <v>1832492.8054737484</v>
      </c>
      <c r="EK188" s="67"/>
      <c r="EL188" s="67"/>
      <c r="EM188" s="67"/>
      <c r="EN188" s="67"/>
      <c r="EO188" s="67"/>
      <c r="EP188" s="67"/>
      <c r="EQ188" s="67"/>
      <c r="ER188" s="67"/>
      <c r="ES188" s="67"/>
      <c r="ET188" s="67"/>
      <c r="EU188" s="67"/>
      <c r="EV188" s="67"/>
      <c r="EW188" s="67"/>
      <c r="EX188" s="67"/>
      <c r="EY188" s="67"/>
      <c r="EZ188" s="67"/>
    </row>
    <row r="189" spans="1:156">
      <c r="B189" s="500" t="s">
        <v>100</v>
      </c>
      <c r="C189" s="499" t="str">
        <f t="shared" ref="C189:AH189" si="67">IF(C170=1, C$151/C$156, "")</f>
        <v/>
      </c>
      <c r="D189" s="499" t="str">
        <f t="shared" si="67"/>
        <v/>
      </c>
      <c r="E189" s="499" t="str">
        <f t="shared" si="67"/>
        <v/>
      </c>
      <c r="F189" s="499" t="str">
        <f t="shared" si="67"/>
        <v/>
      </c>
      <c r="G189" s="499" t="str">
        <f t="shared" si="67"/>
        <v/>
      </c>
      <c r="H189" s="499">
        <f t="shared" si="67"/>
        <v>17291.6875</v>
      </c>
      <c r="I189" s="499" t="str">
        <f t="shared" si="67"/>
        <v/>
      </c>
      <c r="J189" s="499" t="str">
        <f t="shared" si="67"/>
        <v/>
      </c>
      <c r="K189" s="499" t="str">
        <f t="shared" si="67"/>
        <v/>
      </c>
      <c r="L189" s="499" t="str">
        <f t="shared" si="67"/>
        <v/>
      </c>
      <c r="M189" s="499" t="str">
        <f t="shared" si="67"/>
        <v/>
      </c>
      <c r="N189" s="499" t="str">
        <f t="shared" si="67"/>
        <v/>
      </c>
      <c r="O189" s="499" t="str">
        <f t="shared" si="67"/>
        <v/>
      </c>
      <c r="P189" s="499" t="str">
        <f t="shared" si="67"/>
        <v/>
      </c>
      <c r="Q189" s="499" t="str">
        <f t="shared" si="67"/>
        <v/>
      </c>
      <c r="R189" s="499" t="str">
        <f t="shared" si="67"/>
        <v/>
      </c>
      <c r="S189" s="499">
        <f t="shared" si="67"/>
        <v>0</v>
      </c>
      <c r="T189" s="499" t="str">
        <f t="shared" si="67"/>
        <v/>
      </c>
      <c r="U189" s="499">
        <f t="shared" si="67"/>
        <v>0</v>
      </c>
      <c r="V189" s="499" t="str">
        <f t="shared" si="67"/>
        <v/>
      </c>
      <c r="W189" s="499" t="str">
        <f t="shared" si="67"/>
        <v/>
      </c>
      <c r="X189" s="499">
        <f t="shared" si="67"/>
        <v>440917.5</v>
      </c>
      <c r="Y189" s="499" t="str">
        <f t="shared" si="67"/>
        <v/>
      </c>
      <c r="Z189" s="499">
        <f t="shared" si="67"/>
        <v>0</v>
      </c>
      <c r="AA189" s="499" t="str">
        <f t="shared" si="67"/>
        <v/>
      </c>
      <c r="AB189" s="499" t="str">
        <f t="shared" si="67"/>
        <v/>
      </c>
      <c r="AC189" s="499" t="str">
        <f t="shared" si="67"/>
        <v/>
      </c>
      <c r="AD189" s="499">
        <f t="shared" si="67"/>
        <v>0</v>
      </c>
      <c r="AE189" s="499" t="str">
        <f t="shared" si="67"/>
        <v/>
      </c>
      <c r="AF189" s="499" t="str">
        <f t="shared" si="67"/>
        <v/>
      </c>
      <c r="AG189" s="499">
        <f t="shared" si="67"/>
        <v>0</v>
      </c>
      <c r="AH189" s="499">
        <f t="shared" si="67"/>
        <v>0</v>
      </c>
      <c r="AI189" s="499">
        <f t="shared" ref="AI189:BN189" si="68">IF(AI170=1, AI$151/AI$156, "")</f>
        <v>0</v>
      </c>
      <c r="AJ189" s="499" t="str">
        <f t="shared" si="68"/>
        <v/>
      </c>
      <c r="AK189" s="499">
        <f t="shared" si="68"/>
        <v>0</v>
      </c>
      <c r="AL189" s="499" t="str">
        <f t="shared" si="68"/>
        <v/>
      </c>
      <c r="AM189" s="499">
        <f t="shared" si="68"/>
        <v>14507.666000000001</v>
      </c>
      <c r="AN189" s="499" t="str">
        <f t="shared" si="68"/>
        <v/>
      </c>
      <c r="AO189" s="499" t="str">
        <f t="shared" si="68"/>
        <v/>
      </c>
      <c r="AP189" s="499" t="str">
        <f t="shared" si="68"/>
        <v/>
      </c>
      <c r="AQ189" s="499" t="str">
        <f t="shared" si="68"/>
        <v/>
      </c>
      <c r="AR189" s="499" t="str">
        <f t="shared" si="68"/>
        <v/>
      </c>
      <c r="AS189" s="499">
        <f t="shared" si="68"/>
        <v>0</v>
      </c>
      <c r="AT189" s="499" t="str">
        <f t="shared" si="68"/>
        <v/>
      </c>
      <c r="AU189" s="499">
        <f t="shared" si="68"/>
        <v>187.375</v>
      </c>
      <c r="AV189" s="499">
        <f t="shared" si="68"/>
        <v>0</v>
      </c>
      <c r="AW189" s="499">
        <f t="shared" si="68"/>
        <v>1102.5</v>
      </c>
      <c r="AX189" s="499" t="str">
        <f t="shared" si="68"/>
        <v/>
      </c>
      <c r="AY189" s="499">
        <f t="shared" si="68"/>
        <v>20249.5</v>
      </c>
      <c r="AZ189" s="499">
        <f t="shared" si="68"/>
        <v>0</v>
      </c>
      <c r="BA189" s="499">
        <f t="shared" si="68"/>
        <v>2857.1428571428573</v>
      </c>
      <c r="BB189" s="499">
        <f t="shared" si="68"/>
        <v>5745.75</v>
      </c>
      <c r="BC189" s="499">
        <f t="shared" si="68"/>
        <v>76923.076923076922</v>
      </c>
      <c r="BD189" s="499">
        <f t="shared" si="68"/>
        <v>6928.5714285714284</v>
      </c>
      <c r="BE189" s="499">
        <f t="shared" si="68"/>
        <v>0</v>
      </c>
      <c r="BF189" s="499">
        <f t="shared" si="68"/>
        <v>55333.333333333336</v>
      </c>
      <c r="BG189" s="499">
        <f t="shared" si="68"/>
        <v>0</v>
      </c>
      <c r="BH189" s="499" t="str">
        <f t="shared" si="68"/>
        <v/>
      </c>
      <c r="BI189" s="499" t="str">
        <f t="shared" si="68"/>
        <v/>
      </c>
      <c r="BJ189" s="499" t="str">
        <f t="shared" si="68"/>
        <v/>
      </c>
      <c r="BK189" s="499" t="str">
        <f t="shared" si="68"/>
        <v/>
      </c>
      <c r="BL189" s="499" t="str">
        <f t="shared" si="68"/>
        <v/>
      </c>
      <c r="BM189" s="499" t="str">
        <f t="shared" si="68"/>
        <v/>
      </c>
      <c r="BN189" s="499">
        <f t="shared" si="68"/>
        <v>0</v>
      </c>
      <c r="BO189" s="499" t="str">
        <f t="shared" ref="BO189:CT189" si="69">IF(BO170=1, BO$151/BO$156, "")</f>
        <v/>
      </c>
      <c r="BP189" s="499">
        <f t="shared" si="69"/>
        <v>0</v>
      </c>
      <c r="BQ189" s="499" t="str">
        <f t="shared" si="69"/>
        <v/>
      </c>
      <c r="BR189" s="499" t="str">
        <f t="shared" si="69"/>
        <v/>
      </c>
      <c r="BS189" s="499" t="str">
        <f t="shared" si="69"/>
        <v/>
      </c>
      <c r="BT189" s="499" t="str">
        <f t="shared" si="69"/>
        <v/>
      </c>
      <c r="BU189" s="499">
        <f t="shared" si="69"/>
        <v>0</v>
      </c>
      <c r="BV189" s="499" t="str">
        <f t="shared" si="69"/>
        <v/>
      </c>
      <c r="BW189" s="499" t="str">
        <f t="shared" si="69"/>
        <v/>
      </c>
      <c r="BX189" s="499" t="str">
        <f t="shared" si="69"/>
        <v/>
      </c>
      <c r="BY189" s="499" t="str">
        <f t="shared" si="69"/>
        <v/>
      </c>
      <c r="BZ189" s="499" t="str">
        <f t="shared" si="69"/>
        <v/>
      </c>
      <c r="CA189" s="499" t="str">
        <f t="shared" si="69"/>
        <v/>
      </c>
      <c r="CB189" s="499" t="str">
        <f t="shared" si="69"/>
        <v/>
      </c>
      <c r="CC189" s="499">
        <f t="shared" si="69"/>
        <v>200</v>
      </c>
      <c r="CD189" s="499" t="str">
        <f t="shared" si="69"/>
        <v/>
      </c>
      <c r="CE189" s="499" t="str">
        <f t="shared" si="69"/>
        <v/>
      </c>
      <c r="CF189" s="499">
        <f t="shared" si="69"/>
        <v>0</v>
      </c>
      <c r="CG189" s="499">
        <f t="shared" si="69"/>
        <v>189782.66666666666</v>
      </c>
      <c r="CH189" s="499" t="str">
        <f t="shared" si="69"/>
        <v/>
      </c>
      <c r="CI189" s="499">
        <f t="shared" si="69"/>
        <v>0</v>
      </c>
      <c r="CJ189" s="499" t="str">
        <f t="shared" si="69"/>
        <v/>
      </c>
      <c r="CK189" s="499">
        <f t="shared" si="69"/>
        <v>76074.444444444438</v>
      </c>
      <c r="CL189" s="499" t="str">
        <f t="shared" si="69"/>
        <v/>
      </c>
      <c r="CM189" s="499" t="str">
        <f t="shared" si="69"/>
        <v/>
      </c>
      <c r="CN189" s="499">
        <f t="shared" si="69"/>
        <v>892123</v>
      </c>
      <c r="CO189" s="499">
        <f t="shared" si="69"/>
        <v>0</v>
      </c>
      <c r="CP189" s="499" t="str">
        <f t="shared" si="69"/>
        <v/>
      </c>
      <c r="CQ189" s="499" t="str">
        <f t="shared" si="69"/>
        <v/>
      </c>
      <c r="CR189" s="499" t="str">
        <f t="shared" si="69"/>
        <v/>
      </c>
      <c r="CS189" s="499" t="str">
        <f t="shared" si="69"/>
        <v/>
      </c>
      <c r="CT189" s="499" t="str">
        <f t="shared" si="69"/>
        <v/>
      </c>
      <c r="CU189" s="499" t="str">
        <f t="shared" ref="CU189:DZ189" si="70">IF(CU170=1, CU$151/CU$156, "")</f>
        <v/>
      </c>
      <c r="CV189" s="499" t="str">
        <f t="shared" si="70"/>
        <v/>
      </c>
      <c r="CW189" s="499">
        <f t="shared" si="70"/>
        <v>129542.91666666667</v>
      </c>
      <c r="CX189" s="499">
        <f t="shared" si="70"/>
        <v>17277.327666666664</v>
      </c>
      <c r="CY189" s="499" t="str">
        <f t="shared" si="70"/>
        <v/>
      </c>
      <c r="CZ189" s="499" t="str">
        <f t="shared" si="70"/>
        <v/>
      </c>
      <c r="DA189" s="499" t="str">
        <f t="shared" si="70"/>
        <v/>
      </c>
      <c r="DB189" s="499">
        <f t="shared" si="70"/>
        <v>1991.6666666666667</v>
      </c>
      <c r="DC189" s="499">
        <f t="shared" si="70"/>
        <v>43123.9375</v>
      </c>
      <c r="DD189" s="499" t="str">
        <f t="shared" si="70"/>
        <v/>
      </c>
      <c r="DE189" s="499">
        <f t="shared" si="70"/>
        <v>570383.32615384622</v>
      </c>
      <c r="DF189" s="499" t="str">
        <f t="shared" si="70"/>
        <v/>
      </c>
      <c r="DG189" s="499" t="str">
        <f t="shared" si="70"/>
        <v/>
      </c>
      <c r="DH189" s="499" t="str">
        <f t="shared" si="70"/>
        <v/>
      </c>
      <c r="DI189" s="499">
        <f t="shared" si="70"/>
        <v>0</v>
      </c>
      <c r="DJ189" s="499" t="str">
        <f t="shared" si="70"/>
        <v/>
      </c>
      <c r="DK189" s="499">
        <f t="shared" si="70"/>
        <v>0</v>
      </c>
      <c r="DL189" s="499" t="str">
        <f t="shared" si="70"/>
        <v/>
      </c>
      <c r="DM189" s="499" t="str">
        <f t="shared" si="70"/>
        <v/>
      </c>
      <c r="DN189" s="499" t="str">
        <f t="shared" si="70"/>
        <v/>
      </c>
      <c r="DO189" s="499" t="str">
        <f t="shared" si="70"/>
        <v/>
      </c>
      <c r="DP189" s="499" t="str">
        <f t="shared" si="70"/>
        <v/>
      </c>
      <c r="DQ189" s="499" t="str">
        <f t="shared" si="70"/>
        <v/>
      </c>
      <c r="DR189" s="499" t="str">
        <f t="shared" si="70"/>
        <v/>
      </c>
      <c r="DS189" s="499" t="str">
        <f t="shared" si="70"/>
        <v/>
      </c>
      <c r="DT189" s="499">
        <f t="shared" si="70"/>
        <v>0</v>
      </c>
      <c r="DU189" s="499" t="str">
        <f t="shared" si="70"/>
        <v/>
      </c>
      <c r="DV189" s="499" t="str">
        <f t="shared" si="70"/>
        <v/>
      </c>
      <c r="DW189" s="499">
        <f t="shared" si="70"/>
        <v>0</v>
      </c>
      <c r="DX189" s="499" t="str">
        <f t="shared" si="70"/>
        <v/>
      </c>
      <c r="DY189" s="499" t="str">
        <f t="shared" si="70"/>
        <v/>
      </c>
      <c r="DZ189" s="499">
        <f t="shared" si="70"/>
        <v>0</v>
      </c>
      <c r="EA189" s="499" t="str">
        <f t="shared" ref="EA189:EI189" si="71">IF(EA170=1, EA$151/EA$156, "")</f>
        <v/>
      </c>
      <c r="EB189" s="499" t="str">
        <f t="shared" si="71"/>
        <v/>
      </c>
      <c r="EC189" s="499" t="str">
        <f t="shared" si="71"/>
        <v/>
      </c>
      <c r="ED189" s="499" t="str">
        <f t="shared" si="71"/>
        <v/>
      </c>
      <c r="EE189" s="499">
        <f t="shared" si="71"/>
        <v>0</v>
      </c>
      <c r="EF189" s="499" t="str">
        <f t="shared" si="71"/>
        <v/>
      </c>
      <c r="EG189" s="499">
        <f t="shared" si="71"/>
        <v>62450</v>
      </c>
      <c r="EH189" s="499">
        <f t="shared" si="71"/>
        <v>60406.25</v>
      </c>
      <c r="EI189" s="499">
        <f t="shared" si="71"/>
        <v>0</v>
      </c>
      <c r="EJ189" s="499">
        <f t="shared" si="16"/>
        <v>2685399.6388070821</v>
      </c>
      <c r="EK189" s="67"/>
      <c r="EL189" s="67"/>
      <c r="EM189" s="67"/>
      <c r="EN189" s="67"/>
      <c r="EO189" s="67"/>
      <c r="EP189" s="67"/>
      <c r="EQ189" s="67"/>
      <c r="ER189" s="67"/>
      <c r="ES189" s="67"/>
      <c r="ET189" s="67"/>
      <c r="EU189" s="67"/>
      <c r="EV189" s="67"/>
      <c r="EW189" s="67"/>
      <c r="EX189" s="67"/>
      <c r="EY189" s="67"/>
      <c r="EZ189" s="67"/>
    </row>
    <row r="190" spans="1:156">
      <c r="B190" s="500" t="s">
        <v>101</v>
      </c>
      <c r="C190" s="499" t="str">
        <f t="shared" ref="C190:AH190" si="72">IF(C171=1, C$151/C$156, "")</f>
        <v/>
      </c>
      <c r="D190" s="499" t="str">
        <f t="shared" si="72"/>
        <v/>
      </c>
      <c r="E190" s="499" t="str">
        <f t="shared" si="72"/>
        <v/>
      </c>
      <c r="F190" s="499" t="str">
        <f t="shared" si="72"/>
        <v/>
      </c>
      <c r="G190" s="499" t="str">
        <f t="shared" si="72"/>
        <v/>
      </c>
      <c r="H190" s="499">
        <f t="shared" si="72"/>
        <v>17291.6875</v>
      </c>
      <c r="I190" s="499" t="str">
        <f t="shared" si="72"/>
        <v/>
      </c>
      <c r="J190" s="499" t="str">
        <f t="shared" si="72"/>
        <v/>
      </c>
      <c r="K190" s="499" t="str">
        <f t="shared" si="72"/>
        <v/>
      </c>
      <c r="L190" s="499" t="str">
        <f t="shared" si="72"/>
        <v/>
      </c>
      <c r="M190" s="499" t="str">
        <f t="shared" si="72"/>
        <v/>
      </c>
      <c r="N190" s="499" t="str">
        <f t="shared" si="72"/>
        <v/>
      </c>
      <c r="O190" s="499" t="str">
        <f t="shared" si="72"/>
        <v/>
      </c>
      <c r="P190" s="499" t="str">
        <f t="shared" si="72"/>
        <v/>
      </c>
      <c r="Q190" s="499" t="str">
        <f t="shared" si="72"/>
        <v/>
      </c>
      <c r="R190" s="499" t="str">
        <f t="shared" si="72"/>
        <v/>
      </c>
      <c r="S190" s="499">
        <f t="shared" si="72"/>
        <v>0</v>
      </c>
      <c r="T190" s="499" t="str">
        <f t="shared" si="72"/>
        <v/>
      </c>
      <c r="U190" s="499">
        <f t="shared" si="72"/>
        <v>0</v>
      </c>
      <c r="V190" s="499" t="str">
        <f t="shared" si="72"/>
        <v/>
      </c>
      <c r="W190" s="499" t="str">
        <f t="shared" si="72"/>
        <v/>
      </c>
      <c r="X190" s="499">
        <f t="shared" si="72"/>
        <v>440917.5</v>
      </c>
      <c r="Y190" s="499" t="str">
        <f t="shared" si="72"/>
        <v/>
      </c>
      <c r="Z190" s="499">
        <f t="shared" si="72"/>
        <v>0</v>
      </c>
      <c r="AA190" s="499" t="str">
        <f t="shared" si="72"/>
        <v/>
      </c>
      <c r="AB190" s="499" t="str">
        <f t="shared" si="72"/>
        <v/>
      </c>
      <c r="AC190" s="499" t="str">
        <f t="shared" si="72"/>
        <v/>
      </c>
      <c r="AD190" s="499">
        <f t="shared" si="72"/>
        <v>0</v>
      </c>
      <c r="AE190" s="499" t="str">
        <f t="shared" si="72"/>
        <v/>
      </c>
      <c r="AF190" s="499" t="str">
        <f t="shared" si="72"/>
        <v/>
      </c>
      <c r="AG190" s="499">
        <f t="shared" si="72"/>
        <v>0</v>
      </c>
      <c r="AH190" s="499">
        <f t="shared" si="72"/>
        <v>0</v>
      </c>
      <c r="AI190" s="499">
        <f t="shared" ref="AI190:BN190" si="73">IF(AI171=1, AI$151/AI$156, "")</f>
        <v>0</v>
      </c>
      <c r="AJ190" s="499" t="str">
        <f t="shared" si="73"/>
        <v/>
      </c>
      <c r="AK190" s="499">
        <f t="shared" si="73"/>
        <v>0</v>
      </c>
      <c r="AL190" s="499" t="str">
        <f t="shared" si="73"/>
        <v/>
      </c>
      <c r="AM190" s="499">
        <f t="shared" si="73"/>
        <v>14507.666000000001</v>
      </c>
      <c r="AN190" s="499" t="str">
        <f t="shared" si="73"/>
        <v/>
      </c>
      <c r="AO190" s="499" t="str">
        <f t="shared" si="73"/>
        <v/>
      </c>
      <c r="AP190" s="499" t="str">
        <f t="shared" si="73"/>
        <v/>
      </c>
      <c r="AQ190" s="499" t="str">
        <f t="shared" si="73"/>
        <v/>
      </c>
      <c r="AR190" s="499" t="str">
        <f t="shared" si="73"/>
        <v/>
      </c>
      <c r="AS190" s="499" t="str">
        <f t="shared" si="73"/>
        <v/>
      </c>
      <c r="AT190" s="499">
        <f t="shared" si="73"/>
        <v>0</v>
      </c>
      <c r="AU190" s="499" t="str">
        <f t="shared" si="73"/>
        <v/>
      </c>
      <c r="AV190" s="499" t="str">
        <f t="shared" si="73"/>
        <v/>
      </c>
      <c r="AW190" s="499" t="str">
        <f t="shared" si="73"/>
        <v/>
      </c>
      <c r="AX190" s="499" t="str">
        <f t="shared" si="73"/>
        <v/>
      </c>
      <c r="AY190" s="499">
        <f t="shared" si="73"/>
        <v>20249.5</v>
      </c>
      <c r="AZ190" s="499" t="str">
        <f t="shared" si="73"/>
        <v/>
      </c>
      <c r="BA190" s="499">
        <f t="shared" si="73"/>
        <v>2857.1428571428573</v>
      </c>
      <c r="BB190" s="499">
        <f t="shared" si="73"/>
        <v>5745.75</v>
      </c>
      <c r="BC190" s="499">
        <f t="shared" si="73"/>
        <v>76923.076923076922</v>
      </c>
      <c r="BD190" s="499">
        <f t="shared" si="73"/>
        <v>6928.5714285714284</v>
      </c>
      <c r="BE190" s="499" t="str">
        <f t="shared" si="73"/>
        <v/>
      </c>
      <c r="BF190" s="499" t="str">
        <f t="shared" si="73"/>
        <v/>
      </c>
      <c r="BG190" s="499" t="str">
        <f t="shared" si="73"/>
        <v/>
      </c>
      <c r="BH190" s="499" t="str">
        <f t="shared" si="73"/>
        <v/>
      </c>
      <c r="BI190" s="499" t="str">
        <f t="shared" si="73"/>
        <v/>
      </c>
      <c r="BJ190" s="499" t="str">
        <f t="shared" si="73"/>
        <v/>
      </c>
      <c r="BK190" s="499" t="str">
        <f t="shared" si="73"/>
        <v/>
      </c>
      <c r="BL190" s="499">
        <f t="shared" si="73"/>
        <v>509813</v>
      </c>
      <c r="BM190" s="499" t="str">
        <f t="shared" si="73"/>
        <v/>
      </c>
      <c r="BN190" s="499">
        <f t="shared" si="73"/>
        <v>0</v>
      </c>
      <c r="BO190" s="499">
        <f t="shared" ref="BO190:CT190" si="74">IF(BO171=1, BO$151/BO$156, "")</f>
        <v>0</v>
      </c>
      <c r="BP190" s="499">
        <f t="shared" si="74"/>
        <v>0</v>
      </c>
      <c r="BQ190" s="499" t="str">
        <f t="shared" si="74"/>
        <v/>
      </c>
      <c r="BR190" s="499" t="str">
        <f t="shared" si="74"/>
        <v/>
      </c>
      <c r="BS190" s="499" t="str">
        <f t="shared" si="74"/>
        <v/>
      </c>
      <c r="BT190" s="499" t="str">
        <f t="shared" si="74"/>
        <v/>
      </c>
      <c r="BU190" s="499">
        <f t="shared" si="74"/>
        <v>0</v>
      </c>
      <c r="BV190" s="499" t="str">
        <f t="shared" si="74"/>
        <v/>
      </c>
      <c r="BW190" s="499">
        <f t="shared" si="74"/>
        <v>0</v>
      </c>
      <c r="BX190" s="499">
        <f t="shared" si="74"/>
        <v>100000</v>
      </c>
      <c r="BY190" s="499" t="str">
        <f t="shared" si="74"/>
        <v/>
      </c>
      <c r="BZ190" s="499" t="str">
        <f t="shared" si="74"/>
        <v/>
      </c>
      <c r="CA190" s="499" t="str">
        <f t="shared" si="74"/>
        <v/>
      </c>
      <c r="CB190" s="499" t="str">
        <f t="shared" si="74"/>
        <v/>
      </c>
      <c r="CC190" s="499">
        <f t="shared" si="74"/>
        <v>200</v>
      </c>
      <c r="CD190" s="499" t="str">
        <f t="shared" si="74"/>
        <v/>
      </c>
      <c r="CE190" s="499">
        <f t="shared" si="74"/>
        <v>0</v>
      </c>
      <c r="CF190" s="499">
        <f t="shared" si="74"/>
        <v>0</v>
      </c>
      <c r="CG190" s="499">
        <f t="shared" si="74"/>
        <v>189782.66666666666</v>
      </c>
      <c r="CH190" s="499" t="str">
        <f t="shared" si="74"/>
        <v/>
      </c>
      <c r="CI190" s="499" t="str">
        <f t="shared" si="74"/>
        <v/>
      </c>
      <c r="CJ190" s="499" t="str">
        <f t="shared" si="74"/>
        <v/>
      </c>
      <c r="CK190" s="499">
        <f t="shared" si="74"/>
        <v>76074.444444444438</v>
      </c>
      <c r="CL190" s="499" t="str">
        <f t="shared" si="74"/>
        <v/>
      </c>
      <c r="CM190" s="499" t="str">
        <f t="shared" si="74"/>
        <v/>
      </c>
      <c r="CN190" s="499">
        <f t="shared" si="74"/>
        <v>892123</v>
      </c>
      <c r="CO190" s="499">
        <f t="shared" si="74"/>
        <v>0</v>
      </c>
      <c r="CP190" s="499" t="str">
        <f t="shared" si="74"/>
        <v/>
      </c>
      <c r="CQ190" s="499" t="str">
        <f t="shared" si="74"/>
        <v/>
      </c>
      <c r="CR190" s="499" t="str">
        <f t="shared" si="74"/>
        <v/>
      </c>
      <c r="CS190" s="499" t="str">
        <f t="shared" si="74"/>
        <v/>
      </c>
      <c r="CT190" s="499" t="str">
        <f t="shared" si="74"/>
        <v/>
      </c>
      <c r="CU190" s="499" t="str">
        <f t="shared" ref="CU190:DZ190" si="75">IF(CU171=1, CU$151/CU$156, "")</f>
        <v/>
      </c>
      <c r="CV190" s="499">
        <f t="shared" si="75"/>
        <v>2061.875</v>
      </c>
      <c r="CW190" s="499">
        <f t="shared" si="75"/>
        <v>129542.91666666667</v>
      </c>
      <c r="CX190" s="499" t="str">
        <f t="shared" si="75"/>
        <v/>
      </c>
      <c r="CY190" s="499" t="str">
        <f t="shared" si="75"/>
        <v/>
      </c>
      <c r="CZ190" s="499" t="str">
        <f t="shared" si="75"/>
        <v/>
      </c>
      <c r="DA190" s="499" t="str">
        <f t="shared" si="75"/>
        <v/>
      </c>
      <c r="DB190" s="499">
        <f t="shared" si="75"/>
        <v>1991.6666666666667</v>
      </c>
      <c r="DC190" s="499">
        <f t="shared" si="75"/>
        <v>43123.9375</v>
      </c>
      <c r="DD190" s="499" t="str">
        <f t="shared" si="75"/>
        <v/>
      </c>
      <c r="DE190" s="499">
        <f t="shared" si="75"/>
        <v>570383.32615384622</v>
      </c>
      <c r="DF190" s="499" t="str">
        <f t="shared" si="75"/>
        <v/>
      </c>
      <c r="DG190" s="499" t="str">
        <f t="shared" si="75"/>
        <v/>
      </c>
      <c r="DH190" s="499" t="str">
        <f t="shared" si="75"/>
        <v/>
      </c>
      <c r="DI190" s="499">
        <f t="shared" si="75"/>
        <v>0</v>
      </c>
      <c r="DJ190" s="499" t="str">
        <f t="shared" si="75"/>
        <v/>
      </c>
      <c r="DK190" s="499">
        <f t="shared" si="75"/>
        <v>0</v>
      </c>
      <c r="DL190" s="499" t="str">
        <f t="shared" si="75"/>
        <v/>
      </c>
      <c r="DM190" s="499" t="str">
        <f t="shared" si="75"/>
        <v/>
      </c>
      <c r="DN190" s="499" t="str">
        <f t="shared" si="75"/>
        <v/>
      </c>
      <c r="DO190" s="499" t="str">
        <f t="shared" si="75"/>
        <v/>
      </c>
      <c r="DP190" s="499" t="str">
        <f t="shared" si="75"/>
        <v/>
      </c>
      <c r="DQ190" s="499" t="str">
        <f t="shared" si="75"/>
        <v/>
      </c>
      <c r="DR190" s="499" t="str">
        <f t="shared" si="75"/>
        <v/>
      </c>
      <c r="DS190" s="499" t="str">
        <f t="shared" si="75"/>
        <v/>
      </c>
      <c r="DT190" s="499">
        <f t="shared" si="75"/>
        <v>0</v>
      </c>
      <c r="DU190" s="499" t="str">
        <f t="shared" si="75"/>
        <v/>
      </c>
      <c r="DV190" s="499" t="str">
        <f t="shared" si="75"/>
        <v/>
      </c>
      <c r="DW190" s="499">
        <f t="shared" si="75"/>
        <v>0</v>
      </c>
      <c r="DX190" s="499" t="str">
        <f t="shared" si="75"/>
        <v/>
      </c>
      <c r="DY190" s="499">
        <f t="shared" si="75"/>
        <v>0</v>
      </c>
      <c r="DZ190" s="499">
        <f t="shared" si="75"/>
        <v>0</v>
      </c>
      <c r="EA190" s="499" t="str">
        <f t="shared" ref="EA190:EI190" si="76">IF(EA171=1, EA$151/EA$156, "")</f>
        <v/>
      </c>
      <c r="EB190" s="499" t="str">
        <f t="shared" si="76"/>
        <v/>
      </c>
      <c r="EC190" s="499" t="str">
        <f t="shared" si="76"/>
        <v/>
      </c>
      <c r="ED190" s="499" t="str">
        <f t="shared" si="76"/>
        <v/>
      </c>
      <c r="EE190" s="499">
        <f t="shared" si="76"/>
        <v>0</v>
      </c>
      <c r="EF190" s="499" t="str">
        <f t="shared" si="76"/>
        <v/>
      </c>
      <c r="EG190" s="499">
        <f t="shared" si="76"/>
        <v>62450</v>
      </c>
      <c r="EH190" s="499">
        <f t="shared" si="76"/>
        <v>60406.25</v>
      </c>
      <c r="EI190" s="499">
        <f t="shared" si="76"/>
        <v>0</v>
      </c>
      <c r="EJ190" s="499">
        <f t="shared" si="16"/>
        <v>3223373.9778070822</v>
      </c>
      <c r="EK190" s="67"/>
      <c r="EL190" s="67"/>
      <c r="EM190" s="67"/>
      <c r="EN190" s="67"/>
      <c r="EO190" s="67"/>
      <c r="EP190" s="67"/>
      <c r="EQ190" s="67"/>
      <c r="ER190" s="67"/>
      <c r="ES190" s="67"/>
      <c r="ET190" s="67"/>
      <c r="EU190" s="67"/>
      <c r="EV190" s="67"/>
      <c r="EW190" s="67"/>
      <c r="EX190" s="67"/>
      <c r="EY190" s="67"/>
      <c r="EZ190" s="67"/>
    </row>
    <row r="191" spans="1:156">
      <c r="B191" s="500" t="s">
        <v>90</v>
      </c>
      <c r="C191" s="499" t="str">
        <f t="shared" ref="C191:AH191" si="77">IF(C172=1, C$151/C$156, "")</f>
        <v/>
      </c>
      <c r="D191" s="499" t="str">
        <f t="shared" si="77"/>
        <v/>
      </c>
      <c r="E191" s="499" t="str">
        <f t="shared" si="77"/>
        <v/>
      </c>
      <c r="F191" s="499" t="str">
        <f t="shared" si="77"/>
        <v/>
      </c>
      <c r="G191" s="499" t="str">
        <f t="shared" si="77"/>
        <v/>
      </c>
      <c r="H191" s="499">
        <f t="shared" si="77"/>
        <v>17291.6875</v>
      </c>
      <c r="I191" s="499" t="str">
        <f t="shared" si="77"/>
        <v/>
      </c>
      <c r="J191" s="499" t="str">
        <f t="shared" si="77"/>
        <v/>
      </c>
      <c r="K191" s="499" t="str">
        <f t="shared" si="77"/>
        <v/>
      </c>
      <c r="L191" s="499" t="str">
        <f t="shared" si="77"/>
        <v/>
      </c>
      <c r="M191" s="499" t="str">
        <f t="shared" si="77"/>
        <v/>
      </c>
      <c r="N191" s="499" t="str">
        <f t="shared" si="77"/>
        <v/>
      </c>
      <c r="O191" s="499" t="str">
        <f t="shared" si="77"/>
        <v/>
      </c>
      <c r="P191" s="499" t="str">
        <f t="shared" si="77"/>
        <v/>
      </c>
      <c r="Q191" s="499" t="str">
        <f t="shared" si="77"/>
        <v/>
      </c>
      <c r="R191" s="499" t="str">
        <f t="shared" si="77"/>
        <v/>
      </c>
      <c r="S191" s="499">
        <f t="shared" si="77"/>
        <v>0</v>
      </c>
      <c r="T191" s="499" t="str">
        <f t="shared" si="77"/>
        <v/>
      </c>
      <c r="U191" s="499" t="str">
        <f t="shared" si="77"/>
        <v/>
      </c>
      <c r="V191" s="499" t="str">
        <f t="shared" si="77"/>
        <v/>
      </c>
      <c r="W191" s="499" t="str">
        <f t="shared" si="77"/>
        <v/>
      </c>
      <c r="X191" s="499">
        <f t="shared" si="77"/>
        <v>440917.5</v>
      </c>
      <c r="Y191" s="499" t="str">
        <f t="shared" si="77"/>
        <v/>
      </c>
      <c r="Z191" s="499">
        <f t="shared" si="77"/>
        <v>0</v>
      </c>
      <c r="AA191" s="499">
        <f t="shared" si="77"/>
        <v>38230</v>
      </c>
      <c r="AB191" s="499" t="str">
        <f t="shared" si="77"/>
        <v/>
      </c>
      <c r="AC191" s="499" t="str">
        <f t="shared" si="77"/>
        <v/>
      </c>
      <c r="AD191" s="499" t="str">
        <f t="shared" si="77"/>
        <v/>
      </c>
      <c r="AE191" s="499" t="str">
        <f t="shared" si="77"/>
        <v/>
      </c>
      <c r="AF191" s="499" t="str">
        <f t="shared" si="77"/>
        <v/>
      </c>
      <c r="AG191" s="499" t="str">
        <f t="shared" si="77"/>
        <v/>
      </c>
      <c r="AH191" s="499">
        <f t="shared" si="77"/>
        <v>0</v>
      </c>
      <c r="AI191" s="499" t="str">
        <f t="shared" ref="AI191:BN191" si="78">IF(AI172=1, AI$151/AI$156, "")</f>
        <v/>
      </c>
      <c r="AJ191" s="499" t="str">
        <f t="shared" si="78"/>
        <v/>
      </c>
      <c r="AK191" s="499">
        <f t="shared" si="78"/>
        <v>0</v>
      </c>
      <c r="AL191" s="499" t="str">
        <f t="shared" si="78"/>
        <v/>
      </c>
      <c r="AM191" s="499">
        <f t="shared" si="78"/>
        <v>14507.666000000001</v>
      </c>
      <c r="AN191" s="499" t="str">
        <f t="shared" si="78"/>
        <v/>
      </c>
      <c r="AO191" s="499" t="str">
        <f t="shared" si="78"/>
        <v/>
      </c>
      <c r="AP191" s="499" t="str">
        <f t="shared" si="78"/>
        <v/>
      </c>
      <c r="AQ191" s="499" t="str">
        <f t="shared" si="78"/>
        <v/>
      </c>
      <c r="AR191" s="499">
        <f t="shared" si="78"/>
        <v>0</v>
      </c>
      <c r="AS191" s="499" t="str">
        <f t="shared" si="78"/>
        <v/>
      </c>
      <c r="AT191" s="499" t="str">
        <f t="shared" si="78"/>
        <v/>
      </c>
      <c r="AU191" s="499" t="str">
        <f t="shared" si="78"/>
        <v/>
      </c>
      <c r="AV191" s="499">
        <f t="shared" si="78"/>
        <v>0</v>
      </c>
      <c r="AW191" s="499" t="str">
        <f t="shared" si="78"/>
        <v/>
      </c>
      <c r="AX191" s="499">
        <f t="shared" si="78"/>
        <v>0</v>
      </c>
      <c r="AY191" s="499">
        <f t="shared" si="78"/>
        <v>20249.5</v>
      </c>
      <c r="AZ191" s="499">
        <f t="shared" si="78"/>
        <v>0</v>
      </c>
      <c r="BA191" s="499">
        <f t="shared" si="78"/>
        <v>2857.1428571428573</v>
      </c>
      <c r="BB191" s="499">
        <f t="shared" si="78"/>
        <v>5745.75</v>
      </c>
      <c r="BC191" s="499">
        <f t="shared" si="78"/>
        <v>76923.076923076922</v>
      </c>
      <c r="BD191" s="499" t="str">
        <f t="shared" si="78"/>
        <v/>
      </c>
      <c r="BE191" s="499" t="str">
        <f t="shared" si="78"/>
        <v/>
      </c>
      <c r="BF191" s="499" t="str">
        <f t="shared" si="78"/>
        <v/>
      </c>
      <c r="BG191" s="499" t="str">
        <f t="shared" si="78"/>
        <v/>
      </c>
      <c r="BH191" s="499" t="str">
        <f t="shared" si="78"/>
        <v/>
      </c>
      <c r="BI191" s="499" t="str">
        <f t="shared" si="78"/>
        <v/>
      </c>
      <c r="BJ191" s="499" t="str">
        <f t="shared" si="78"/>
        <v/>
      </c>
      <c r="BK191" s="499" t="str">
        <f t="shared" si="78"/>
        <v/>
      </c>
      <c r="BL191" s="499" t="str">
        <f t="shared" si="78"/>
        <v/>
      </c>
      <c r="BM191" s="499" t="str">
        <f t="shared" si="78"/>
        <v/>
      </c>
      <c r="BN191" s="499">
        <f t="shared" si="78"/>
        <v>0</v>
      </c>
      <c r="BO191" s="499" t="str">
        <f t="shared" ref="BO191:CT191" si="79">IF(BO172=1, BO$151/BO$156, "")</f>
        <v/>
      </c>
      <c r="BP191" s="499">
        <f t="shared" si="79"/>
        <v>0</v>
      </c>
      <c r="BQ191" s="499" t="str">
        <f t="shared" si="79"/>
        <v/>
      </c>
      <c r="BR191" s="499" t="str">
        <f t="shared" si="79"/>
        <v/>
      </c>
      <c r="BS191" s="499" t="str">
        <f t="shared" si="79"/>
        <v/>
      </c>
      <c r="BT191" s="499" t="str">
        <f t="shared" si="79"/>
        <v/>
      </c>
      <c r="BU191" s="499">
        <f t="shared" si="79"/>
        <v>0</v>
      </c>
      <c r="BV191" s="499" t="str">
        <f t="shared" si="79"/>
        <v/>
      </c>
      <c r="BW191" s="499" t="str">
        <f t="shared" si="79"/>
        <v/>
      </c>
      <c r="BX191" s="499" t="str">
        <f t="shared" si="79"/>
        <v/>
      </c>
      <c r="BY191" s="499" t="str">
        <f t="shared" si="79"/>
        <v/>
      </c>
      <c r="BZ191" s="499" t="str">
        <f t="shared" si="79"/>
        <v/>
      </c>
      <c r="CA191" s="499" t="str">
        <f t="shared" si="79"/>
        <v/>
      </c>
      <c r="CB191" s="499" t="str">
        <f t="shared" si="79"/>
        <v/>
      </c>
      <c r="CC191" s="499">
        <f t="shared" si="79"/>
        <v>200</v>
      </c>
      <c r="CD191" s="499" t="str">
        <f t="shared" si="79"/>
        <v/>
      </c>
      <c r="CE191" s="499" t="str">
        <f t="shared" si="79"/>
        <v/>
      </c>
      <c r="CF191" s="499">
        <f t="shared" si="79"/>
        <v>0</v>
      </c>
      <c r="CG191" s="499" t="str">
        <f t="shared" si="79"/>
        <v/>
      </c>
      <c r="CH191" s="499" t="str">
        <f t="shared" si="79"/>
        <v/>
      </c>
      <c r="CI191" s="499" t="str">
        <f t="shared" si="79"/>
        <v/>
      </c>
      <c r="CJ191" s="499" t="str">
        <f t="shared" si="79"/>
        <v/>
      </c>
      <c r="CK191" s="499">
        <f t="shared" si="79"/>
        <v>76074.444444444438</v>
      </c>
      <c r="CL191" s="499" t="str">
        <f t="shared" si="79"/>
        <v/>
      </c>
      <c r="CM191" s="499" t="str">
        <f t="shared" si="79"/>
        <v/>
      </c>
      <c r="CN191" s="499" t="str">
        <f t="shared" si="79"/>
        <v/>
      </c>
      <c r="CO191" s="499">
        <f t="shared" si="79"/>
        <v>0</v>
      </c>
      <c r="CP191" s="499" t="str">
        <f t="shared" si="79"/>
        <v/>
      </c>
      <c r="CQ191" s="499" t="str">
        <f t="shared" si="79"/>
        <v/>
      </c>
      <c r="CR191" s="499" t="str">
        <f t="shared" si="79"/>
        <v/>
      </c>
      <c r="CS191" s="499" t="str">
        <f t="shared" si="79"/>
        <v/>
      </c>
      <c r="CT191" s="499" t="str">
        <f t="shared" si="79"/>
        <v/>
      </c>
      <c r="CU191" s="499" t="str">
        <f t="shared" ref="CU191:DZ191" si="80">IF(CU172=1, CU$151/CU$156, "")</f>
        <v/>
      </c>
      <c r="CV191" s="499" t="str">
        <f t="shared" si="80"/>
        <v/>
      </c>
      <c r="CW191" s="499">
        <f t="shared" si="80"/>
        <v>129542.91666666667</v>
      </c>
      <c r="CX191" s="499" t="str">
        <f t="shared" si="80"/>
        <v/>
      </c>
      <c r="CY191" s="499" t="str">
        <f t="shared" si="80"/>
        <v/>
      </c>
      <c r="CZ191" s="499" t="str">
        <f t="shared" si="80"/>
        <v/>
      </c>
      <c r="DA191" s="499" t="str">
        <f t="shared" si="80"/>
        <v/>
      </c>
      <c r="DB191" s="499">
        <f t="shared" si="80"/>
        <v>1991.6666666666667</v>
      </c>
      <c r="DC191" s="499">
        <f t="shared" si="80"/>
        <v>43123.9375</v>
      </c>
      <c r="DD191" s="499" t="str">
        <f t="shared" si="80"/>
        <v/>
      </c>
      <c r="DE191" s="499">
        <f t="shared" si="80"/>
        <v>570383.32615384622</v>
      </c>
      <c r="DF191" s="499" t="str">
        <f t="shared" si="80"/>
        <v/>
      </c>
      <c r="DG191" s="499">
        <f t="shared" si="80"/>
        <v>413318.33333333331</v>
      </c>
      <c r="DH191" s="499" t="str">
        <f t="shared" si="80"/>
        <v/>
      </c>
      <c r="DI191" s="499">
        <f t="shared" si="80"/>
        <v>0</v>
      </c>
      <c r="DJ191" s="499" t="str">
        <f t="shared" si="80"/>
        <v/>
      </c>
      <c r="DK191" s="499">
        <f t="shared" si="80"/>
        <v>0</v>
      </c>
      <c r="DL191" s="499" t="str">
        <f t="shared" si="80"/>
        <v/>
      </c>
      <c r="DM191" s="499" t="str">
        <f t="shared" si="80"/>
        <v/>
      </c>
      <c r="DN191" s="499" t="str">
        <f t="shared" si="80"/>
        <v/>
      </c>
      <c r="DO191" s="499" t="str">
        <f t="shared" si="80"/>
        <v/>
      </c>
      <c r="DP191" s="499" t="str">
        <f t="shared" si="80"/>
        <v/>
      </c>
      <c r="DQ191" s="499" t="str">
        <f t="shared" si="80"/>
        <v/>
      </c>
      <c r="DR191" s="499" t="str">
        <f t="shared" si="80"/>
        <v/>
      </c>
      <c r="DS191" s="499" t="str">
        <f t="shared" si="80"/>
        <v/>
      </c>
      <c r="DT191" s="499">
        <f t="shared" si="80"/>
        <v>0</v>
      </c>
      <c r="DU191" s="499" t="str">
        <f t="shared" si="80"/>
        <v/>
      </c>
      <c r="DV191" s="499" t="str">
        <f t="shared" si="80"/>
        <v/>
      </c>
      <c r="DW191" s="499">
        <f t="shared" si="80"/>
        <v>0</v>
      </c>
      <c r="DX191" s="499" t="str">
        <f t="shared" si="80"/>
        <v/>
      </c>
      <c r="DY191" s="499" t="str">
        <f t="shared" si="80"/>
        <v/>
      </c>
      <c r="DZ191" s="499" t="str">
        <f t="shared" si="80"/>
        <v/>
      </c>
      <c r="EA191" s="499" t="str">
        <f t="shared" ref="EA191:EI191" si="81">IF(EA172=1, EA$151/EA$156, "")</f>
        <v/>
      </c>
      <c r="EB191" s="499" t="str">
        <f t="shared" si="81"/>
        <v/>
      </c>
      <c r="EC191" s="499" t="str">
        <f t="shared" si="81"/>
        <v/>
      </c>
      <c r="ED191" s="499" t="str">
        <f t="shared" si="81"/>
        <v/>
      </c>
      <c r="EE191" s="499">
        <f t="shared" si="81"/>
        <v>0</v>
      </c>
      <c r="EF191" s="499" t="str">
        <f t="shared" si="81"/>
        <v/>
      </c>
      <c r="EG191" s="499">
        <f t="shared" si="81"/>
        <v>62450</v>
      </c>
      <c r="EH191" s="499">
        <f t="shared" si="81"/>
        <v>60406.25</v>
      </c>
      <c r="EI191" s="499">
        <f t="shared" si="81"/>
        <v>0</v>
      </c>
      <c r="EJ191" s="499">
        <f t="shared" si="16"/>
        <v>1974213.1980451769</v>
      </c>
      <c r="EK191" s="67"/>
      <c r="EL191" s="67"/>
      <c r="EM191" s="67"/>
      <c r="EN191" s="67"/>
      <c r="EO191" s="67"/>
      <c r="EP191" s="67"/>
      <c r="EQ191" s="67"/>
      <c r="ER191" s="67"/>
      <c r="ES191" s="67"/>
      <c r="ET191" s="67"/>
      <c r="EU191" s="67"/>
      <c r="EV191" s="67"/>
      <c r="EW191" s="67"/>
      <c r="EX191" s="67"/>
      <c r="EY191" s="67"/>
      <c r="EZ191" s="67"/>
    </row>
    <row r="192" spans="1:156">
      <c r="B192" s="500" t="s">
        <v>137</v>
      </c>
      <c r="C192" s="499" t="str">
        <f t="shared" ref="C192:AH192" si="82">IF(C173=1, C$151/C$156, "")</f>
        <v/>
      </c>
      <c r="D192" s="499">
        <f t="shared" si="82"/>
        <v>0</v>
      </c>
      <c r="E192" s="499">
        <f t="shared" si="82"/>
        <v>143014.5</v>
      </c>
      <c r="F192" s="499">
        <f t="shared" si="82"/>
        <v>134</v>
      </c>
      <c r="G192" s="499" t="str">
        <f t="shared" si="82"/>
        <v/>
      </c>
      <c r="H192" s="499">
        <f t="shared" si="82"/>
        <v>17291.6875</v>
      </c>
      <c r="I192" s="499">
        <f t="shared" si="82"/>
        <v>25823.333333333332</v>
      </c>
      <c r="J192" s="499">
        <f t="shared" si="82"/>
        <v>54649</v>
      </c>
      <c r="K192" s="499" t="str">
        <f t="shared" si="82"/>
        <v/>
      </c>
      <c r="L192" s="499" t="str">
        <f t="shared" si="82"/>
        <v/>
      </c>
      <c r="M192" s="499">
        <f t="shared" si="82"/>
        <v>0</v>
      </c>
      <c r="N192" s="499" t="str">
        <f t="shared" si="82"/>
        <v/>
      </c>
      <c r="O192" s="499" t="str">
        <f t="shared" si="82"/>
        <v/>
      </c>
      <c r="P192" s="499" t="str">
        <f t="shared" si="82"/>
        <v/>
      </c>
      <c r="Q192" s="499" t="str">
        <f t="shared" si="82"/>
        <v/>
      </c>
      <c r="R192" s="499" t="str">
        <f t="shared" si="82"/>
        <v/>
      </c>
      <c r="S192" s="499" t="str">
        <f t="shared" si="82"/>
        <v/>
      </c>
      <c r="T192" s="499" t="str">
        <f t="shared" si="82"/>
        <v/>
      </c>
      <c r="U192" s="499" t="str">
        <f t="shared" si="82"/>
        <v/>
      </c>
      <c r="V192" s="499" t="str">
        <f t="shared" si="82"/>
        <v/>
      </c>
      <c r="W192" s="499" t="str">
        <f t="shared" si="82"/>
        <v/>
      </c>
      <c r="X192" s="499">
        <f t="shared" si="82"/>
        <v>440917.5</v>
      </c>
      <c r="Y192" s="499">
        <f t="shared" si="82"/>
        <v>0</v>
      </c>
      <c r="Z192" s="499" t="str">
        <f t="shared" si="82"/>
        <v/>
      </c>
      <c r="AA192" s="499" t="str">
        <f t="shared" si="82"/>
        <v/>
      </c>
      <c r="AB192" s="499" t="str">
        <f t="shared" si="82"/>
        <v/>
      </c>
      <c r="AC192" s="499" t="str">
        <f t="shared" si="82"/>
        <v/>
      </c>
      <c r="AD192" s="499" t="str">
        <f t="shared" si="82"/>
        <v/>
      </c>
      <c r="AE192" s="499" t="str">
        <f t="shared" si="82"/>
        <v/>
      </c>
      <c r="AF192" s="499" t="str">
        <f t="shared" si="82"/>
        <v/>
      </c>
      <c r="AG192" s="499" t="str">
        <f t="shared" si="82"/>
        <v/>
      </c>
      <c r="AH192" s="499">
        <f t="shared" si="82"/>
        <v>0</v>
      </c>
      <c r="AI192" s="499" t="str">
        <f t="shared" ref="AI192:BN192" si="83">IF(AI173=1, AI$151/AI$156, "")</f>
        <v/>
      </c>
      <c r="AJ192" s="499">
        <f t="shared" si="83"/>
        <v>0</v>
      </c>
      <c r="AK192" s="499" t="str">
        <f t="shared" si="83"/>
        <v/>
      </c>
      <c r="AL192" s="499" t="str">
        <f t="shared" si="83"/>
        <v/>
      </c>
      <c r="AM192" s="499" t="str">
        <f t="shared" si="83"/>
        <v/>
      </c>
      <c r="AN192" s="499">
        <f t="shared" si="83"/>
        <v>10362.618571428571</v>
      </c>
      <c r="AO192" s="499" t="str">
        <f t="shared" si="83"/>
        <v/>
      </c>
      <c r="AP192" s="499" t="str">
        <f t="shared" si="83"/>
        <v/>
      </c>
      <c r="AQ192" s="499" t="str">
        <f t="shared" si="83"/>
        <v/>
      </c>
      <c r="AR192" s="499" t="str">
        <f t="shared" si="83"/>
        <v/>
      </c>
      <c r="AS192" s="499" t="str">
        <f t="shared" si="83"/>
        <v/>
      </c>
      <c r="AT192" s="499" t="str">
        <f t="shared" si="83"/>
        <v/>
      </c>
      <c r="AU192" s="499">
        <f t="shared" si="83"/>
        <v>187.375</v>
      </c>
      <c r="AV192" s="499" t="str">
        <f t="shared" si="83"/>
        <v/>
      </c>
      <c r="AW192" s="499" t="str">
        <f t="shared" si="83"/>
        <v/>
      </c>
      <c r="AX192" s="499" t="str">
        <f t="shared" si="83"/>
        <v/>
      </c>
      <c r="AY192" s="499">
        <f t="shared" si="83"/>
        <v>20249.5</v>
      </c>
      <c r="AZ192" s="499" t="str">
        <f t="shared" si="83"/>
        <v/>
      </c>
      <c r="BA192" s="499">
        <f t="shared" si="83"/>
        <v>2857.1428571428573</v>
      </c>
      <c r="BB192" s="499">
        <f t="shared" si="83"/>
        <v>5745.75</v>
      </c>
      <c r="BC192" s="499">
        <f t="shared" si="83"/>
        <v>76923.076923076922</v>
      </c>
      <c r="BD192" s="499" t="str">
        <f t="shared" si="83"/>
        <v/>
      </c>
      <c r="BE192" s="499">
        <f t="shared" si="83"/>
        <v>0</v>
      </c>
      <c r="BF192" s="499">
        <f t="shared" si="83"/>
        <v>55333.333333333336</v>
      </c>
      <c r="BG192" s="499" t="str">
        <f t="shared" si="83"/>
        <v/>
      </c>
      <c r="BH192" s="499" t="str">
        <f t="shared" si="83"/>
        <v/>
      </c>
      <c r="BI192" s="499" t="str">
        <f t="shared" si="83"/>
        <v/>
      </c>
      <c r="BJ192" s="499" t="str">
        <f t="shared" si="83"/>
        <v/>
      </c>
      <c r="BK192" s="499">
        <f t="shared" si="83"/>
        <v>0</v>
      </c>
      <c r="BL192" s="499" t="str">
        <f t="shared" si="83"/>
        <v/>
      </c>
      <c r="BM192" s="499" t="str">
        <f t="shared" si="83"/>
        <v/>
      </c>
      <c r="BN192" s="499" t="str">
        <f t="shared" si="83"/>
        <v/>
      </c>
      <c r="BO192" s="499" t="str">
        <f t="shared" ref="BO192:CT192" si="84">IF(BO173=1, BO$151/BO$156, "")</f>
        <v/>
      </c>
      <c r="BP192" s="499">
        <f t="shared" si="84"/>
        <v>0</v>
      </c>
      <c r="BQ192" s="499" t="str">
        <f t="shared" si="84"/>
        <v/>
      </c>
      <c r="BR192" s="499">
        <f t="shared" si="84"/>
        <v>0</v>
      </c>
      <c r="BS192" s="499" t="str">
        <f t="shared" si="84"/>
        <v/>
      </c>
      <c r="BT192" s="499">
        <f t="shared" si="84"/>
        <v>0</v>
      </c>
      <c r="BU192" s="499" t="str">
        <f t="shared" si="84"/>
        <v/>
      </c>
      <c r="BV192" s="499" t="str">
        <f t="shared" si="84"/>
        <v/>
      </c>
      <c r="BW192" s="499" t="str">
        <f t="shared" si="84"/>
        <v/>
      </c>
      <c r="BX192" s="499" t="str">
        <f t="shared" si="84"/>
        <v/>
      </c>
      <c r="BY192" s="499">
        <f t="shared" si="84"/>
        <v>151</v>
      </c>
      <c r="BZ192" s="499" t="str">
        <f t="shared" si="84"/>
        <v/>
      </c>
      <c r="CA192" s="499" t="str">
        <f t="shared" si="84"/>
        <v/>
      </c>
      <c r="CB192" s="499">
        <f t="shared" si="84"/>
        <v>142.85714285714286</v>
      </c>
      <c r="CC192" s="499" t="str">
        <f t="shared" si="84"/>
        <v/>
      </c>
      <c r="CD192" s="499" t="str">
        <f t="shared" si="84"/>
        <v/>
      </c>
      <c r="CE192" s="499" t="str">
        <f t="shared" si="84"/>
        <v/>
      </c>
      <c r="CF192" s="499">
        <f t="shared" si="84"/>
        <v>0</v>
      </c>
      <c r="CG192" s="499" t="str">
        <f t="shared" si="84"/>
        <v/>
      </c>
      <c r="CH192" s="499" t="str">
        <f t="shared" si="84"/>
        <v/>
      </c>
      <c r="CI192" s="499" t="str">
        <f t="shared" si="84"/>
        <v/>
      </c>
      <c r="CJ192" s="499" t="str">
        <f t="shared" si="84"/>
        <v/>
      </c>
      <c r="CK192" s="499" t="str">
        <f t="shared" si="84"/>
        <v/>
      </c>
      <c r="CL192" s="499">
        <f t="shared" si="84"/>
        <v>73.2</v>
      </c>
      <c r="CM192" s="499" t="str">
        <f t="shared" si="84"/>
        <v/>
      </c>
      <c r="CN192" s="499" t="str">
        <f t="shared" si="84"/>
        <v/>
      </c>
      <c r="CO192" s="499">
        <f t="shared" si="84"/>
        <v>0</v>
      </c>
      <c r="CP192" s="499" t="str">
        <f t="shared" si="84"/>
        <v/>
      </c>
      <c r="CQ192" s="499" t="str">
        <f t="shared" si="84"/>
        <v/>
      </c>
      <c r="CR192" s="499" t="str">
        <f t="shared" si="84"/>
        <v/>
      </c>
      <c r="CS192" s="499" t="str">
        <f t="shared" si="84"/>
        <v/>
      </c>
      <c r="CT192" s="499">
        <f t="shared" si="84"/>
        <v>0</v>
      </c>
      <c r="CU192" s="499">
        <f t="shared" ref="CU192:DZ192" si="85">IF(CU173=1, CU$151/CU$156, "")</f>
        <v>0</v>
      </c>
      <c r="CV192" s="499">
        <f t="shared" si="85"/>
        <v>2061.875</v>
      </c>
      <c r="CW192" s="499">
        <f t="shared" si="85"/>
        <v>129542.91666666667</v>
      </c>
      <c r="CX192" s="499" t="str">
        <f t="shared" si="85"/>
        <v/>
      </c>
      <c r="CY192" s="499">
        <f t="shared" si="85"/>
        <v>225.66666666666666</v>
      </c>
      <c r="CZ192" s="499" t="str">
        <f t="shared" si="85"/>
        <v/>
      </c>
      <c r="DA192" s="499" t="str">
        <f t="shared" si="85"/>
        <v/>
      </c>
      <c r="DB192" s="499">
        <f t="shared" si="85"/>
        <v>1991.6666666666667</v>
      </c>
      <c r="DC192" s="499">
        <f t="shared" si="85"/>
        <v>43123.9375</v>
      </c>
      <c r="DD192" s="499" t="str">
        <f t="shared" si="85"/>
        <v/>
      </c>
      <c r="DE192" s="499" t="str">
        <f t="shared" si="85"/>
        <v/>
      </c>
      <c r="DF192" s="499" t="str">
        <f t="shared" si="85"/>
        <v/>
      </c>
      <c r="DG192" s="499" t="str">
        <f t="shared" si="85"/>
        <v/>
      </c>
      <c r="DH192" s="499">
        <f t="shared" si="85"/>
        <v>0</v>
      </c>
      <c r="DI192" s="499" t="str">
        <f t="shared" si="85"/>
        <v/>
      </c>
      <c r="DJ192" s="499" t="str">
        <f t="shared" si="85"/>
        <v/>
      </c>
      <c r="DK192" s="499">
        <f t="shared" si="85"/>
        <v>0</v>
      </c>
      <c r="DL192" s="499" t="str">
        <f t="shared" si="85"/>
        <v/>
      </c>
      <c r="DM192" s="499" t="str">
        <f t="shared" si="85"/>
        <v/>
      </c>
      <c r="DN192" s="499" t="str">
        <f t="shared" si="85"/>
        <v/>
      </c>
      <c r="DO192" s="499" t="str">
        <f t="shared" si="85"/>
        <v/>
      </c>
      <c r="DP192" s="499" t="str">
        <f t="shared" si="85"/>
        <v/>
      </c>
      <c r="DQ192" s="499" t="str">
        <f t="shared" si="85"/>
        <v/>
      </c>
      <c r="DR192" s="499" t="str">
        <f t="shared" si="85"/>
        <v/>
      </c>
      <c r="DS192" s="499">
        <f t="shared" si="85"/>
        <v>88750</v>
      </c>
      <c r="DT192" s="499" t="str">
        <f t="shared" si="85"/>
        <v/>
      </c>
      <c r="DU192" s="499" t="str">
        <f t="shared" si="85"/>
        <v/>
      </c>
      <c r="DV192" s="499" t="str">
        <f t="shared" si="85"/>
        <v/>
      </c>
      <c r="DW192" s="499" t="str">
        <f t="shared" si="85"/>
        <v/>
      </c>
      <c r="DX192" s="499" t="str">
        <f t="shared" si="85"/>
        <v/>
      </c>
      <c r="DY192" s="499" t="str">
        <f t="shared" si="85"/>
        <v/>
      </c>
      <c r="DZ192" s="499" t="str">
        <f t="shared" si="85"/>
        <v/>
      </c>
      <c r="EA192" s="499" t="str">
        <f t="shared" ref="EA192:EI192" si="86">IF(EA173=1, EA$151/EA$156, "")</f>
        <v/>
      </c>
      <c r="EB192" s="499" t="str">
        <f t="shared" si="86"/>
        <v/>
      </c>
      <c r="EC192" s="499" t="str">
        <f t="shared" si="86"/>
        <v/>
      </c>
      <c r="ED192" s="499" t="str">
        <f t="shared" si="86"/>
        <v/>
      </c>
      <c r="EE192" s="499">
        <f t="shared" si="86"/>
        <v>0</v>
      </c>
      <c r="EF192" s="499">
        <f t="shared" si="86"/>
        <v>192686.66666666666</v>
      </c>
      <c r="EG192" s="499">
        <f t="shared" si="86"/>
        <v>62450</v>
      </c>
      <c r="EH192" s="499" t="str">
        <f t="shared" si="86"/>
        <v/>
      </c>
      <c r="EI192" s="499" t="str">
        <f t="shared" si="86"/>
        <v/>
      </c>
      <c r="EJ192" s="499">
        <f t="shared" si="16"/>
        <v>1374688.6038278388</v>
      </c>
      <c r="EK192" s="67"/>
      <c r="EL192" s="67"/>
      <c r="EM192" s="67"/>
      <c r="EN192" s="67"/>
      <c r="EO192" s="67"/>
      <c r="EP192" s="67"/>
      <c r="EQ192" s="67"/>
      <c r="ER192" s="67"/>
      <c r="ES192" s="67"/>
      <c r="ET192" s="67"/>
      <c r="EU192" s="67"/>
      <c r="EV192" s="67"/>
      <c r="EW192" s="67"/>
      <c r="EX192" s="67"/>
      <c r="EY192" s="67"/>
      <c r="EZ192" s="67"/>
    </row>
    <row r="193" spans="1:156">
      <c r="B193" s="500" t="s">
        <v>94</v>
      </c>
      <c r="C193" s="499" t="str">
        <f t="shared" ref="C193:AH193" si="87">IF(C174=1, C$151/C$156, "")</f>
        <v/>
      </c>
      <c r="D193" s="499" t="str">
        <f t="shared" si="87"/>
        <v/>
      </c>
      <c r="E193" s="499" t="str">
        <f t="shared" si="87"/>
        <v/>
      </c>
      <c r="F193" s="499" t="str">
        <f t="shared" si="87"/>
        <v/>
      </c>
      <c r="G193" s="499">
        <f t="shared" si="87"/>
        <v>304898.33333333331</v>
      </c>
      <c r="H193" s="499">
        <f t="shared" si="87"/>
        <v>17291.6875</v>
      </c>
      <c r="I193" s="499" t="str">
        <f t="shared" si="87"/>
        <v/>
      </c>
      <c r="J193" s="499" t="str">
        <f t="shared" si="87"/>
        <v/>
      </c>
      <c r="K193" s="499" t="str">
        <f t="shared" si="87"/>
        <v/>
      </c>
      <c r="L193" s="499" t="str">
        <f t="shared" si="87"/>
        <v/>
      </c>
      <c r="M193" s="499" t="str">
        <f t="shared" si="87"/>
        <v/>
      </c>
      <c r="N193" s="499" t="str">
        <f t="shared" si="87"/>
        <v/>
      </c>
      <c r="O193" s="499" t="str">
        <f t="shared" si="87"/>
        <v/>
      </c>
      <c r="P193" s="499" t="str">
        <f t="shared" si="87"/>
        <v/>
      </c>
      <c r="Q193" s="499" t="str">
        <f t="shared" si="87"/>
        <v/>
      </c>
      <c r="R193" s="499" t="str">
        <f t="shared" si="87"/>
        <v/>
      </c>
      <c r="S193" s="499" t="str">
        <f t="shared" si="87"/>
        <v/>
      </c>
      <c r="T193" s="499" t="str">
        <f t="shared" si="87"/>
        <v/>
      </c>
      <c r="U193" s="499" t="str">
        <f t="shared" si="87"/>
        <v/>
      </c>
      <c r="V193" s="499" t="str">
        <f t="shared" si="87"/>
        <v/>
      </c>
      <c r="W193" s="499" t="str">
        <f t="shared" si="87"/>
        <v/>
      </c>
      <c r="X193" s="499">
        <f t="shared" si="87"/>
        <v>440917.5</v>
      </c>
      <c r="Y193" s="499" t="str">
        <f t="shared" si="87"/>
        <v/>
      </c>
      <c r="Z193" s="499">
        <f t="shared" si="87"/>
        <v>0</v>
      </c>
      <c r="AA193" s="499" t="str">
        <f t="shared" si="87"/>
        <v/>
      </c>
      <c r="AB193" s="499" t="str">
        <f t="shared" si="87"/>
        <v/>
      </c>
      <c r="AC193" s="499" t="str">
        <f t="shared" si="87"/>
        <v/>
      </c>
      <c r="AD193" s="499" t="str">
        <f t="shared" si="87"/>
        <v/>
      </c>
      <c r="AE193" s="499" t="str">
        <f t="shared" si="87"/>
        <v/>
      </c>
      <c r="AF193" s="499" t="str">
        <f t="shared" si="87"/>
        <v/>
      </c>
      <c r="AG193" s="499" t="str">
        <f t="shared" si="87"/>
        <v/>
      </c>
      <c r="AH193" s="499">
        <f t="shared" si="87"/>
        <v>0</v>
      </c>
      <c r="AI193" s="499" t="str">
        <f t="shared" ref="AI193:BN193" si="88">IF(AI174=1, AI$151/AI$156, "")</f>
        <v/>
      </c>
      <c r="AJ193" s="499" t="str">
        <f t="shared" si="88"/>
        <v/>
      </c>
      <c r="AK193" s="499" t="str">
        <f t="shared" si="88"/>
        <v/>
      </c>
      <c r="AL193" s="499" t="str">
        <f t="shared" si="88"/>
        <v/>
      </c>
      <c r="AM193" s="499" t="str">
        <f t="shared" si="88"/>
        <v/>
      </c>
      <c r="AN193" s="499" t="str">
        <f t="shared" si="88"/>
        <v/>
      </c>
      <c r="AO193" s="499" t="str">
        <f t="shared" si="88"/>
        <v/>
      </c>
      <c r="AP193" s="499" t="str">
        <f t="shared" si="88"/>
        <v/>
      </c>
      <c r="AQ193" s="499" t="str">
        <f t="shared" si="88"/>
        <v/>
      </c>
      <c r="AR193" s="499" t="str">
        <f t="shared" si="88"/>
        <v/>
      </c>
      <c r="AS193" s="499" t="str">
        <f t="shared" si="88"/>
        <v/>
      </c>
      <c r="AT193" s="499" t="str">
        <f t="shared" si="88"/>
        <v/>
      </c>
      <c r="AU193" s="499" t="str">
        <f t="shared" si="88"/>
        <v/>
      </c>
      <c r="AV193" s="499" t="str">
        <f t="shared" si="88"/>
        <v/>
      </c>
      <c r="AW193" s="499" t="str">
        <f t="shared" si="88"/>
        <v/>
      </c>
      <c r="AX193" s="499">
        <f t="shared" si="88"/>
        <v>0</v>
      </c>
      <c r="AY193" s="499">
        <f t="shared" si="88"/>
        <v>20249.5</v>
      </c>
      <c r="AZ193" s="499" t="str">
        <f t="shared" si="88"/>
        <v/>
      </c>
      <c r="BA193" s="499">
        <f t="shared" si="88"/>
        <v>2857.1428571428573</v>
      </c>
      <c r="BB193" s="499">
        <f t="shared" si="88"/>
        <v>5745.75</v>
      </c>
      <c r="BC193" s="499">
        <f t="shared" si="88"/>
        <v>76923.076923076922</v>
      </c>
      <c r="BD193" s="499">
        <f t="shared" si="88"/>
        <v>6928.5714285714284</v>
      </c>
      <c r="BE193" s="499" t="str">
        <f t="shared" si="88"/>
        <v/>
      </c>
      <c r="BF193" s="499" t="str">
        <f t="shared" si="88"/>
        <v/>
      </c>
      <c r="BG193" s="499" t="str">
        <f t="shared" si="88"/>
        <v/>
      </c>
      <c r="BH193" s="499" t="str">
        <f t="shared" si="88"/>
        <v/>
      </c>
      <c r="BI193" s="499" t="str">
        <f t="shared" si="88"/>
        <v/>
      </c>
      <c r="BJ193" s="499" t="str">
        <f t="shared" si="88"/>
        <v/>
      </c>
      <c r="BK193" s="499" t="str">
        <f t="shared" si="88"/>
        <v/>
      </c>
      <c r="BL193" s="499">
        <f t="shared" si="88"/>
        <v>509813</v>
      </c>
      <c r="BM193" s="499" t="str">
        <f t="shared" si="88"/>
        <v/>
      </c>
      <c r="BN193" s="499" t="str">
        <f t="shared" si="88"/>
        <v/>
      </c>
      <c r="BO193" s="499">
        <f t="shared" ref="BO193:CT193" si="89">IF(BO174=1, BO$151/BO$156, "")</f>
        <v>0</v>
      </c>
      <c r="BP193" s="499">
        <f t="shared" si="89"/>
        <v>0</v>
      </c>
      <c r="BQ193" s="499" t="str">
        <f t="shared" si="89"/>
        <v/>
      </c>
      <c r="BR193" s="499" t="str">
        <f t="shared" si="89"/>
        <v/>
      </c>
      <c r="BS193" s="499" t="str">
        <f t="shared" si="89"/>
        <v/>
      </c>
      <c r="BT193" s="499" t="str">
        <f t="shared" si="89"/>
        <v/>
      </c>
      <c r="BU193" s="499" t="str">
        <f t="shared" si="89"/>
        <v/>
      </c>
      <c r="BV193" s="499" t="str">
        <f t="shared" si="89"/>
        <v/>
      </c>
      <c r="BW193" s="499">
        <f t="shared" si="89"/>
        <v>0</v>
      </c>
      <c r="BX193" s="499">
        <f t="shared" si="89"/>
        <v>100000</v>
      </c>
      <c r="BY193" s="499" t="str">
        <f t="shared" si="89"/>
        <v/>
      </c>
      <c r="BZ193" s="499" t="str">
        <f t="shared" si="89"/>
        <v/>
      </c>
      <c r="CA193" s="499" t="str">
        <f t="shared" si="89"/>
        <v/>
      </c>
      <c r="CB193" s="499" t="str">
        <f t="shared" si="89"/>
        <v/>
      </c>
      <c r="CC193" s="499" t="str">
        <f t="shared" si="89"/>
        <v/>
      </c>
      <c r="CD193" s="499" t="str">
        <f t="shared" si="89"/>
        <v/>
      </c>
      <c r="CE193" s="499">
        <f t="shared" si="89"/>
        <v>0</v>
      </c>
      <c r="CF193" s="499">
        <f t="shared" si="89"/>
        <v>0</v>
      </c>
      <c r="CG193" s="499" t="str">
        <f t="shared" si="89"/>
        <v/>
      </c>
      <c r="CH193" s="499" t="str">
        <f t="shared" si="89"/>
        <v/>
      </c>
      <c r="CI193" s="499" t="str">
        <f t="shared" si="89"/>
        <v/>
      </c>
      <c r="CJ193" s="499" t="str">
        <f t="shared" si="89"/>
        <v/>
      </c>
      <c r="CK193" s="499" t="str">
        <f t="shared" si="89"/>
        <v/>
      </c>
      <c r="CL193" s="499" t="str">
        <f t="shared" si="89"/>
        <v/>
      </c>
      <c r="CM193" s="499" t="str">
        <f t="shared" si="89"/>
        <v/>
      </c>
      <c r="CN193" s="499" t="str">
        <f t="shared" si="89"/>
        <v/>
      </c>
      <c r="CO193" s="499" t="str">
        <f t="shared" si="89"/>
        <v/>
      </c>
      <c r="CP193" s="499" t="str">
        <f t="shared" si="89"/>
        <v/>
      </c>
      <c r="CQ193" s="499" t="str">
        <f t="shared" si="89"/>
        <v/>
      </c>
      <c r="CR193" s="499" t="str">
        <f t="shared" si="89"/>
        <v/>
      </c>
      <c r="CS193" s="499" t="str">
        <f t="shared" si="89"/>
        <v/>
      </c>
      <c r="CT193" s="499" t="str">
        <f t="shared" si="89"/>
        <v/>
      </c>
      <c r="CU193" s="499" t="str">
        <f t="shared" ref="CU193:DZ193" si="90">IF(CU174=1, CU$151/CU$156, "")</f>
        <v/>
      </c>
      <c r="CV193" s="499" t="str">
        <f t="shared" si="90"/>
        <v/>
      </c>
      <c r="CW193" s="499" t="str">
        <f t="shared" si="90"/>
        <v/>
      </c>
      <c r="CX193" s="499" t="str">
        <f t="shared" si="90"/>
        <v/>
      </c>
      <c r="CY193" s="499" t="str">
        <f t="shared" si="90"/>
        <v/>
      </c>
      <c r="CZ193" s="499" t="str">
        <f t="shared" si="90"/>
        <v/>
      </c>
      <c r="DA193" s="499" t="str">
        <f t="shared" si="90"/>
        <v/>
      </c>
      <c r="DB193" s="499" t="str">
        <f t="shared" si="90"/>
        <v/>
      </c>
      <c r="DC193" s="499">
        <f t="shared" si="90"/>
        <v>43123.9375</v>
      </c>
      <c r="DD193" s="499" t="str">
        <f t="shared" si="90"/>
        <v/>
      </c>
      <c r="DE193" s="499" t="str">
        <f t="shared" si="90"/>
        <v/>
      </c>
      <c r="DF193" s="499" t="str">
        <f t="shared" si="90"/>
        <v/>
      </c>
      <c r="DG193" s="499" t="str">
        <f t="shared" si="90"/>
        <v/>
      </c>
      <c r="DH193" s="499" t="str">
        <f t="shared" si="90"/>
        <v/>
      </c>
      <c r="DI193" s="499" t="str">
        <f t="shared" si="90"/>
        <v/>
      </c>
      <c r="DJ193" s="499" t="str">
        <f t="shared" si="90"/>
        <v/>
      </c>
      <c r="DK193" s="499">
        <f t="shared" si="90"/>
        <v>0</v>
      </c>
      <c r="DL193" s="499" t="str">
        <f t="shared" si="90"/>
        <v/>
      </c>
      <c r="DM193" s="499" t="str">
        <f t="shared" si="90"/>
        <v/>
      </c>
      <c r="DN193" s="499" t="str">
        <f t="shared" si="90"/>
        <v/>
      </c>
      <c r="DO193" s="499" t="str">
        <f t="shared" si="90"/>
        <v/>
      </c>
      <c r="DP193" s="499">
        <f t="shared" si="90"/>
        <v>0</v>
      </c>
      <c r="DQ193" s="499" t="str">
        <f t="shared" si="90"/>
        <v/>
      </c>
      <c r="DR193" s="499" t="str">
        <f t="shared" si="90"/>
        <v/>
      </c>
      <c r="DS193" s="499" t="str">
        <f t="shared" si="90"/>
        <v/>
      </c>
      <c r="DT193" s="499">
        <f t="shared" si="90"/>
        <v>0</v>
      </c>
      <c r="DU193" s="499" t="str">
        <f t="shared" si="90"/>
        <v/>
      </c>
      <c r="DV193" s="499" t="str">
        <f t="shared" si="90"/>
        <v/>
      </c>
      <c r="DW193" s="499" t="str">
        <f t="shared" si="90"/>
        <v/>
      </c>
      <c r="DX193" s="499" t="str">
        <f t="shared" si="90"/>
        <v/>
      </c>
      <c r="DY193" s="499">
        <f t="shared" si="90"/>
        <v>0</v>
      </c>
      <c r="DZ193" s="499" t="str">
        <f t="shared" si="90"/>
        <v/>
      </c>
      <c r="EA193" s="499" t="str">
        <f t="shared" ref="EA193:EI193" si="91">IF(EA174=1, EA$151/EA$156, "")</f>
        <v/>
      </c>
      <c r="EB193" s="499" t="str">
        <f t="shared" si="91"/>
        <v/>
      </c>
      <c r="EC193" s="499" t="str">
        <f t="shared" si="91"/>
        <v/>
      </c>
      <c r="ED193" s="499" t="str">
        <f t="shared" si="91"/>
        <v/>
      </c>
      <c r="EE193" s="499" t="str">
        <f t="shared" si="91"/>
        <v/>
      </c>
      <c r="EF193" s="499" t="str">
        <f t="shared" si="91"/>
        <v/>
      </c>
      <c r="EG193" s="499" t="str">
        <f t="shared" si="91"/>
        <v/>
      </c>
      <c r="EH193" s="499" t="str">
        <f t="shared" si="91"/>
        <v/>
      </c>
      <c r="EI193" s="499" t="str">
        <f t="shared" si="91"/>
        <v/>
      </c>
      <c r="EJ193" s="499">
        <f t="shared" si="16"/>
        <v>1528748.4995421246</v>
      </c>
      <c r="EK193" s="67"/>
      <c r="EL193" s="67"/>
      <c r="EM193" s="67"/>
      <c r="EN193" s="67"/>
      <c r="EO193" s="67"/>
      <c r="EP193" s="67"/>
      <c r="EQ193" s="67"/>
      <c r="ER193" s="67"/>
      <c r="ES193" s="67"/>
      <c r="ET193" s="67"/>
      <c r="EU193" s="67"/>
      <c r="EV193" s="67"/>
      <c r="EW193" s="67"/>
      <c r="EX193" s="67"/>
      <c r="EY193" s="67"/>
      <c r="EZ193" s="67"/>
    </row>
    <row r="194" spans="1:156">
      <c r="B194" s="500" t="s">
        <v>70</v>
      </c>
      <c r="C194" s="499" t="str">
        <f t="shared" ref="C194:AH194" si="92">IF(C175=1, C$151/C$156, "")</f>
        <v/>
      </c>
      <c r="D194" s="499" t="str">
        <f t="shared" si="92"/>
        <v/>
      </c>
      <c r="E194" s="499" t="str">
        <f t="shared" si="92"/>
        <v/>
      </c>
      <c r="F194" s="499" t="str">
        <f t="shared" si="92"/>
        <v/>
      </c>
      <c r="G194" s="499" t="str">
        <f t="shared" si="92"/>
        <v/>
      </c>
      <c r="H194" s="499" t="str">
        <f t="shared" si="92"/>
        <v/>
      </c>
      <c r="I194" s="499" t="str">
        <f t="shared" si="92"/>
        <v/>
      </c>
      <c r="J194" s="499" t="str">
        <f t="shared" si="92"/>
        <v/>
      </c>
      <c r="K194" s="499">
        <f t="shared" si="92"/>
        <v>0</v>
      </c>
      <c r="L194" s="499">
        <f t="shared" si="92"/>
        <v>0</v>
      </c>
      <c r="M194" s="499" t="str">
        <f t="shared" si="92"/>
        <v/>
      </c>
      <c r="N194" s="499">
        <f t="shared" si="92"/>
        <v>0</v>
      </c>
      <c r="O194" s="499">
        <f t="shared" si="92"/>
        <v>0</v>
      </c>
      <c r="P194" s="499" t="str">
        <f t="shared" si="92"/>
        <v/>
      </c>
      <c r="Q194" s="499" t="str">
        <f t="shared" si="92"/>
        <v/>
      </c>
      <c r="R194" s="499" t="str">
        <f t="shared" si="92"/>
        <v/>
      </c>
      <c r="S194" s="499" t="str">
        <f t="shared" si="92"/>
        <v/>
      </c>
      <c r="T194" s="499" t="str">
        <f t="shared" si="92"/>
        <v/>
      </c>
      <c r="U194" s="499" t="str">
        <f t="shared" si="92"/>
        <v/>
      </c>
      <c r="V194" s="499">
        <f t="shared" si="92"/>
        <v>0</v>
      </c>
      <c r="W194" s="499">
        <f t="shared" si="92"/>
        <v>0</v>
      </c>
      <c r="X194" s="499" t="str">
        <f t="shared" si="92"/>
        <v/>
      </c>
      <c r="Y194" s="499" t="str">
        <f t="shared" si="92"/>
        <v/>
      </c>
      <c r="Z194" s="499" t="str">
        <f t="shared" si="92"/>
        <v/>
      </c>
      <c r="AA194" s="499" t="str">
        <f t="shared" si="92"/>
        <v/>
      </c>
      <c r="AB194" s="499">
        <f t="shared" si="92"/>
        <v>67231.5</v>
      </c>
      <c r="AC194" s="499" t="str">
        <f t="shared" si="92"/>
        <v/>
      </c>
      <c r="AD194" s="499" t="str">
        <f t="shared" si="92"/>
        <v/>
      </c>
      <c r="AE194" s="499">
        <f t="shared" si="92"/>
        <v>0</v>
      </c>
      <c r="AF194" s="499" t="str">
        <f t="shared" si="92"/>
        <v/>
      </c>
      <c r="AG194" s="499" t="str">
        <f t="shared" si="92"/>
        <v/>
      </c>
      <c r="AH194" s="499">
        <f t="shared" si="92"/>
        <v>0</v>
      </c>
      <c r="AI194" s="499" t="str">
        <f t="shared" ref="AI194:BN194" si="93">IF(AI175=1, AI$151/AI$156, "")</f>
        <v/>
      </c>
      <c r="AJ194" s="499" t="str">
        <f t="shared" si="93"/>
        <v/>
      </c>
      <c r="AK194" s="499" t="str">
        <f t="shared" si="93"/>
        <v/>
      </c>
      <c r="AL194" s="499" t="str">
        <f t="shared" si="93"/>
        <v/>
      </c>
      <c r="AM194" s="499" t="str">
        <f t="shared" si="93"/>
        <v/>
      </c>
      <c r="AN194" s="499" t="str">
        <f t="shared" si="93"/>
        <v/>
      </c>
      <c r="AO194" s="499" t="str">
        <f t="shared" si="93"/>
        <v/>
      </c>
      <c r="AP194" s="499" t="str">
        <f t="shared" si="93"/>
        <v/>
      </c>
      <c r="AQ194" s="499">
        <f t="shared" si="93"/>
        <v>64700</v>
      </c>
      <c r="AR194" s="499" t="str">
        <f t="shared" si="93"/>
        <v/>
      </c>
      <c r="AS194" s="499" t="str">
        <f t="shared" si="93"/>
        <v/>
      </c>
      <c r="AT194" s="499" t="str">
        <f t="shared" si="93"/>
        <v/>
      </c>
      <c r="AU194" s="499">
        <f t="shared" si="93"/>
        <v>187.375</v>
      </c>
      <c r="AV194" s="499" t="str">
        <f t="shared" si="93"/>
        <v/>
      </c>
      <c r="AW194" s="499" t="str">
        <f t="shared" si="93"/>
        <v/>
      </c>
      <c r="AX194" s="499" t="str">
        <f t="shared" si="93"/>
        <v/>
      </c>
      <c r="AY194" s="499" t="str">
        <f t="shared" si="93"/>
        <v/>
      </c>
      <c r="AZ194" s="499" t="str">
        <f t="shared" si="93"/>
        <v/>
      </c>
      <c r="BA194" s="499">
        <f t="shared" si="93"/>
        <v>2857.1428571428573</v>
      </c>
      <c r="BB194" s="499" t="str">
        <f t="shared" si="93"/>
        <v/>
      </c>
      <c r="BC194" s="499" t="str">
        <f t="shared" si="93"/>
        <v/>
      </c>
      <c r="BD194" s="499" t="str">
        <f t="shared" si="93"/>
        <v/>
      </c>
      <c r="BE194" s="499" t="str">
        <f t="shared" si="93"/>
        <v/>
      </c>
      <c r="BF194" s="499" t="str">
        <f t="shared" si="93"/>
        <v/>
      </c>
      <c r="BG194" s="499" t="str">
        <f t="shared" si="93"/>
        <v/>
      </c>
      <c r="BH194" s="499">
        <f t="shared" si="93"/>
        <v>0</v>
      </c>
      <c r="BI194" s="499">
        <f t="shared" si="93"/>
        <v>0</v>
      </c>
      <c r="BJ194" s="499">
        <f t="shared" si="93"/>
        <v>0</v>
      </c>
      <c r="BK194" s="499" t="str">
        <f t="shared" si="93"/>
        <v/>
      </c>
      <c r="BL194" s="499" t="str">
        <f t="shared" si="93"/>
        <v/>
      </c>
      <c r="BM194" s="499" t="str">
        <f t="shared" si="93"/>
        <v/>
      </c>
      <c r="BN194" s="499" t="str">
        <f t="shared" si="93"/>
        <v/>
      </c>
      <c r="BO194" s="499" t="str">
        <f t="shared" ref="BO194:CT194" si="94">IF(BO175=1, BO$151/BO$156, "")</f>
        <v/>
      </c>
      <c r="BP194" s="499" t="str">
        <f t="shared" si="94"/>
        <v/>
      </c>
      <c r="BQ194" s="499">
        <f t="shared" si="94"/>
        <v>2662280</v>
      </c>
      <c r="BR194" s="499" t="str">
        <f t="shared" si="94"/>
        <v/>
      </c>
      <c r="BS194" s="499">
        <f t="shared" si="94"/>
        <v>175000</v>
      </c>
      <c r="BT194" s="499" t="str">
        <f t="shared" si="94"/>
        <v/>
      </c>
      <c r="BU194" s="499" t="str">
        <f t="shared" si="94"/>
        <v/>
      </c>
      <c r="BV194" s="499" t="str">
        <f t="shared" si="94"/>
        <v/>
      </c>
      <c r="BW194" s="499" t="str">
        <f t="shared" si="94"/>
        <v/>
      </c>
      <c r="BX194" s="499" t="str">
        <f t="shared" si="94"/>
        <v/>
      </c>
      <c r="BY194" s="499" t="str">
        <f t="shared" si="94"/>
        <v/>
      </c>
      <c r="BZ194" s="499">
        <f t="shared" si="94"/>
        <v>0</v>
      </c>
      <c r="CA194" s="499" t="str">
        <f t="shared" si="94"/>
        <v/>
      </c>
      <c r="CB194" s="499" t="str">
        <f t="shared" si="94"/>
        <v/>
      </c>
      <c r="CC194" s="499" t="str">
        <f t="shared" si="94"/>
        <v/>
      </c>
      <c r="CD194" s="499" t="str">
        <f t="shared" si="94"/>
        <v/>
      </c>
      <c r="CE194" s="499" t="str">
        <f t="shared" si="94"/>
        <v/>
      </c>
      <c r="CF194" s="499" t="str">
        <f t="shared" si="94"/>
        <v/>
      </c>
      <c r="CG194" s="499" t="str">
        <f t="shared" si="94"/>
        <v/>
      </c>
      <c r="CH194" s="499">
        <f t="shared" si="94"/>
        <v>0</v>
      </c>
      <c r="CI194" s="499">
        <f t="shared" si="94"/>
        <v>0</v>
      </c>
      <c r="CJ194" s="499" t="str">
        <f t="shared" si="94"/>
        <v/>
      </c>
      <c r="CK194" s="499" t="str">
        <f t="shared" si="94"/>
        <v/>
      </c>
      <c r="CL194" s="499" t="str">
        <f t="shared" si="94"/>
        <v/>
      </c>
      <c r="CM194" s="499" t="str">
        <f t="shared" si="94"/>
        <v/>
      </c>
      <c r="CN194" s="499" t="str">
        <f t="shared" si="94"/>
        <v/>
      </c>
      <c r="CO194" s="499" t="str">
        <f t="shared" si="94"/>
        <v/>
      </c>
      <c r="CP194" s="499" t="str">
        <f t="shared" si="94"/>
        <v/>
      </c>
      <c r="CQ194" s="499">
        <f t="shared" si="94"/>
        <v>0</v>
      </c>
      <c r="CR194" s="499">
        <f t="shared" si="94"/>
        <v>0</v>
      </c>
      <c r="CS194" s="499" t="str">
        <f t="shared" si="94"/>
        <v/>
      </c>
      <c r="CT194" s="499" t="str">
        <f t="shared" si="94"/>
        <v/>
      </c>
      <c r="CU194" s="499">
        <f t="shared" ref="CU194:DZ194" si="95">IF(CU175=1, CU$151/CU$156, "")</f>
        <v>0</v>
      </c>
      <c r="CV194" s="499" t="str">
        <f t="shared" si="95"/>
        <v/>
      </c>
      <c r="CW194" s="499" t="str">
        <f t="shared" si="95"/>
        <v/>
      </c>
      <c r="CX194" s="499" t="str">
        <f t="shared" si="95"/>
        <v/>
      </c>
      <c r="CY194" s="499" t="str">
        <f t="shared" si="95"/>
        <v/>
      </c>
      <c r="CZ194" s="499" t="str">
        <f t="shared" si="95"/>
        <v/>
      </c>
      <c r="DA194" s="499">
        <f t="shared" si="95"/>
        <v>73500</v>
      </c>
      <c r="DB194" s="499" t="str">
        <f t="shared" si="95"/>
        <v/>
      </c>
      <c r="DC194" s="499" t="str">
        <f t="shared" si="95"/>
        <v/>
      </c>
      <c r="DD194" s="499" t="str">
        <f t="shared" si="95"/>
        <v/>
      </c>
      <c r="DE194" s="499" t="str">
        <f t="shared" si="95"/>
        <v/>
      </c>
      <c r="DF194" s="499" t="str">
        <f t="shared" si="95"/>
        <v/>
      </c>
      <c r="DG194" s="499" t="str">
        <f t="shared" si="95"/>
        <v/>
      </c>
      <c r="DH194" s="499" t="str">
        <f t="shared" si="95"/>
        <v/>
      </c>
      <c r="DI194" s="499" t="str">
        <f t="shared" si="95"/>
        <v/>
      </c>
      <c r="DJ194" s="499" t="str">
        <f t="shared" si="95"/>
        <v/>
      </c>
      <c r="DK194" s="499" t="str">
        <f t="shared" si="95"/>
        <v/>
      </c>
      <c r="DL194" s="499">
        <f t="shared" si="95"/>
        <v>0</v>
      </c>
      <c r="DM194" s="499">
        <f t="shared" si="95"/>
        <v>0</v>
      </c>
      <c r="DN194" s="499">
        <f t="shared" si="95"/>
        <v>2000</v>
      </c>
      <c r="DO194" s="499">
        <f t="shared" si="95"/>
        <v>1084001.3333333333</v>
      </c>
      <c r="DP194" s="499" t="str">
        <f t="shared" si="95"/>
        <v/>
      </c>
      <c r="DQ194" s="499" t="str">
        <f t="shared" si="95"/>
        <v/>
      </c>
      <c r="DR194" s="499" t="str">
        <f t="shared" si="95"/>
        <v/>
      </c>
      <c r="DS194" s="499" t="str">
        <f t="shared" si="95"/>
        <v/>
      </c>
      <c r="DT194" s="499" t="str">
        <f t="shared" si="95"/>
        <v/>
      </c>
      <c r="DU194" s="499">
        <f t="shared" si="95"/>
        <v>40333.333333333336</v>
      </c>
      <c r="DV194" s="499">
        <f t="shared" si="95"/>
        <v>0</v>
      </c>
      <c r="DW194" s="499" t="str">
        <f t="shared" si="95"/>
        <v/>
      </c>
      <c r="DX194" s="499" t="str">
        <f t="shared" si="95"/>
        <v/>
      </c>
      <c r="DY194" s="499" t="str">
        <f t="shared" si="95"/>
        <v/>
      </c>
      <c r="DZ194" s="499" t="str">
        <f t="shared" si="95"/>
        <v/>
      </c>
      <c r="EA194" s="499" t="str">
        <f t="shared" ref="EA194:EI194" si="96">IF(EA175=1, EA$151/EA$156, "")</f>
        <v/>
      </c>
      <c r="EB194" s="499">
        <f t="shared" si="96"/>
        <v>0</v>
      </c>
      <c r="EC194" s="499">
        <f t="shared" si="96"/>
        <v>250950</v>
      </c>
      <c r="ED194" s="499" t="str">
        <f t="shared" si="96"/>
        <v/>
      </c>
      <c r="EE194" s="499" t="str">
        <f t="shared" si="96"/>
        <v/>
      </c>
      <c r="EF194" s="499" t="str">
        <f t="shared" si="96"/>
        <v/>
      </c>
      <c r="EG194" s="499" t="str">
        <f t="shared" si="96"/>
        <v/>
      </c>
      <c r="EH194" s="499" t="str">
        <f t="shared" si="96"/>
        <v/>
      </c>
      <c r="EI194" s="499" t="str">
        <f t="shared" si="96"/>
        <v/>
      </c>
      <c r="EJ194" s="499">
        <f t="shared" si="16"/>
        <v>4423040.6845238097</v>
      </c>
      <c r="EK194" s="67"/>
      <c r="EL194" s="67"/>
      <c r="EM194" s="67"/>
      <c r="EN194" s="67"/>
      <c r="EO194" s="67"/>
      <c r="EP194" s="67"/>
      <c r="EQ194" s="67"/>
      <c r="ER194" s="67"/>
      <c r="ES194" s="67"/>
      <c r="ET194" s="67"/>
      <c r="EU194" s="67"/>
      <c r="EV194" s="67"/>
      <c r="EW194" s="67"/>
      <c r="EX194" s="67"/>
      <c r="EY194" s="67"/>
      <c r="EZ194" s="67"/>
    </row>
    <row r="195" spans="1:156" s="92" customFormat="1">
      <c r="A195" s="61"/>
      <c r="B195" s="498" t="s">
        <v>581</v>
      </c>
      <c r="C195" s="497" t="str">
        <f t="shared" ref="C195:AH195" si="97">IF(SUM(C178:C194)=C151, "Consistent", "Inconsistent")</f>
        <v>Consistent</v>
      </c>
      <c r="D195" s="497" t="str">
        <f t="shared" si="97"/>
        <v>Consistent</v>
      </c>
      <c r="E195" s="497" t="str">
        <f t="shared" si="97"/>
        <v>Consistent</v>
      </c>
      <c r="F195" s="497" t="str">
        <f t="shared" si="97"/>
        <v>Consistent</v>
      </c>
      <c r="G195" s="497" t="str">
        <f t="shared" si="97"/>
        <v>Consistent</v>
      </c>
      <c r="H195" s="497" t="str">
        <f t="shared" si="97"/>
        <v>Consistent</v>
      </c>
      <c r="I195" s="497" t="str">
        <f t="shared" si="97"/>
        <v>Consistent</v>
      </c>
      <c r="J195" s="497" t="str">
        <f t="shared" si="97"/>
        <v>Consistent</v>
      </c>
      <c r="K195" s="497" t="str">
        <f t="shared" si="97"/>
        <v>Consistent</v>
      </c>
      <c r="L195" s="497" t="str">
        <f t="shared" si="97"/>
        <v>Consistent</v>
      </c>
      <c r="M195" s="497" t="str">
        <f t="shared" si="97"/>
        <v>Consistent</v>
      </c>
      <c r="N195" s="497" t="str">
        <f t="shared" si="97"/>
        <v>Consistent</v>
      </c>
      <c r="O195" s="497" t="str">
        <f t="shared" si="97"/>
        <v>Consistent</v>
      </c>
      <c r="P195" s="497" t="str">
        <f t="shared" si="97"/>
        <v>Consistent</v>
      </c>
      <c r="Q195" s="497" t="str">
        <f t="shared" si="97"/>
        <v>Consistent</v>
      </c>
      <c r="R195" s="497" t="str">
        <f t="shared" si="97"/>
        <v>Consistent</v>
      </c>
      <c r="S195" s="497" t="str">
        <f t="shared" si="97"/>
        <v>Consistent</v>
      </c>
      <c r="T195" s="497" t="str">
        <f t="shared" si="97"/>
        <v>Consistent</v>
      </c>
      <c r="U195" s="497" t="str">
        <f t="shared" si="97"/>
        <v>Consistent</v>
      </c>
      <c r="V195" s="497" t="str">
        <f t="shared" si="97"/>
        <v>Consistent</v>
      </c>
      <c r="W195" s="497" t="str">
        <f t="shared" si="97"/>
        <v>Consistent</v>
      </c>
      <c r="X195" s="497" t="str">
        <f t="shared" si="97"/>
        <v>Consistent</v>
      </c>
      <c r="Y195" s="497" t="str">
        <f t="shared" si="97"/>
        <v>Consistent</v>
      </c>
      <c r="Z195" s="497" t="str">
        <f t="shared" si="97"/>
        <v>Consistent</v>
      </c>
      <c r="AA195" s="497" t="str">
        <f t="shared" si="97"/>
        <v>Consistent</v>
      </c>
      <c r="AB195" s="497" t="str">
        <f t="shared" si="97"/>
        <v>Consistent</v>
      </c>
      <c r="AC195" s="497" t="str">
        <f t="shared" si="97"/>
        <v>Consistent</v>
      </c>
      <c r="AD195" s="497" t="str">
        <f t="shared" si="97"/>
        <v>Consistent</v>
      </c>
      <c r="AE195" s="497" t="str">
        <f t="shared" si="97"/>
        <v>Consistent</v>
      </c>
      <c r="AF195" s="497" t="str">
        <f t="shared" si="97"/>
        <v>Consistent</v>
      </c>
      <c r="AG195" s="497" t="str">
        <f t="shared" si="97"/>
        <v>Consistent</v>
      </c>
      <c r="AH195" s="497" t="str">
        <f t="shared" si="97"/>
        <v>Consistent</v>
      </c>
      <c r="AI195" s="497" t="str">
        <f t="shared" ref="AI195:BN195" si="98">IF(SUM(AI178:AI194)=AI151, "Consistent", "Inconsistent")</f>
        <v>Consistent</v>
      </c>
      <c r="AJ195" s="497" t="str">
        <f t="shared" si="98"/>
        <v>Consistent</v>
      </c>
      <c r="AK195" s="497" t="str">
        <f t="shared" si="98"/>
        <v>Consistent</v>
      </c>
      <c r="AL195" s="497" t="str">
        <f t="shared" si="98"/>
        <v>Consistent</v>
      </c>
      <c r="AM195" s="497" t="str">
        <f t="shared" si="98"/>
        <v>Consistent</v>
      </c>
      <c r="AN195" s="497" t="str">
        <f t="shared" si="98"/>
        <v>Consistent</v>
      </c>
      <c r="AO195" s="497" t="str">
        <f t="shared" si="98"/>
        <v>Consistent</v>
      </c>
      <c r="AP195" s="497" t="str">
        <f t="shared" si="98"/>
        <v>Consistent</v>
      </c>
      <c r="AQ195" s="497" t="str">
        <f t="shared" si="98"/>
        <v>Consistent</v>
      </c>
      <c r="AR195" s="497" t="str">
        <f t="shared" si="98"/>
        <v>Consistent</v>
      </c>
      <c r="AS195" s="497" t="str">
        <f t="shared" si="98"/>
        <v>Consistent</v>
      </c>
      <c r="AT195" s="497" t="str">
        <f t="shared" si="98"/>
        <v>Consistent</v>
      </c>
      <c r="AU195" s="497" t="str">
        <f t="shared" si="98"/>
        <v>Consistent</v>
      </c>
      <c r="AV195" s="497" t="str">
        <f t="shared" si="98"/>
        <v>Consistent</v>
      </c>
      <c r="AW195" s="497" t="str">
        <f t="shared" si="98"/>
        <v>Consistent</v>
      </c>
      <c r="AX195" s="497" t="str">
        <f t="shared" si="98"/>
        <v>Consistent</v>
      </c>
      <c r="AY195" s="497" t="str">
        <f t="shared" si="98"/>
        <v>Consistent</v>
      </c>
      <c r="AZ195" s="497" t="str">
        <f t="shared" si="98"/>
        <v>Consistent</v>
      </c>
      <c r="BA195" s="497" t="str">
        <f t="shared" si="98"/>
        <v>Consistent</v>
      </c>
      <c r="BB195" s="497" t="str">
        <f t="shared" si="98"/>
        <v>Consistent</v>
      </c>
      <c r="BC195" s="497" t="str">
        <f t="shared" si="98"/>
        <v>Consistent</v>
      </c>
      <c r="BD195" s="497" t="str">
        <f t="shared" si="98"/>
        <v>Consistent</v>
      </c>
      <c r="BE195" s="497" t="str">
        <f t="shared" si="98"/>
        <v>Consistent</v>
      </c>
      <c r="BF195" s="497" t="str">
        <f t="shared" si="98"/>
        <v>Consistent</v>
      </c>
      <c r="BG195" s="497" t="str">
        <f t="shared" si="98"/>
        <v>Consistent</v>
      </c>
      <c r="BH195" s="497" t="str">
        <f t="shared" si="98"/>
        <v>Consistent</v>
      </c>
      <c r="BI195" s="497" t="str">
        <f t="shared" si="98"/>
        <v>Consistent</v>
      </c>
      <c r="BJ195" s="497" t="str">
        <f t="shared" si="98"/>
        <v>Consistent</v>
      </c>
      <c r="BK195" s="497" t="str">
        <f t="shared" si="98"/>
        <v>Consistent</v>
      </c>
      <c r="BL195" s="497" t="str">
        <f t="shared" si="98"/>
        <v>Consistent</v>
      </c>
      <c r="BM195" s="497" t="str">
        <f t="shared" si="98"/>
        <v>Consistent</v>
      </c>
      <c r="BN195" s="497" t="str">
        <f t="shared" si="98"/>
        <v>Consistent</v>
      </c>
      <c r="BO195" s="497" t="str">
        <f t="shared" ref="BO195:CT195" si="99">IF(SUM(BO178:BO194)=BO151, "Consistent", "Inconsistent")</f>
        <v>Consistent</v>
      </c>
      <c r="BP195" s="497" t="str">
        <f t="shared" si="99"/>
        <v>Consistent</v>
      </c>
      <c r="BQ195" s="497" t="str">
        <f t="shared" si="99"/>
        <v>Consistent</v>
      </c>
      <c r="BR195" s="497" t="str">
        <f t="shared" si="99"/>
        <v>Consistent</v>
      </c>
      <c r="BS195" s="497" t="str">
        <f t="shared" si="99"/>
        <v>Consistent</v>
      </c>
      <c r="BT195" s="497" t="str">
        <f t="shared" si="99"/>
        <v>Consistent</v>
      </c>
      <c r="BU195" s="497" t="str">
        <f t="shared" si="99"/>
        <v>Consistent</v>
      </c>
      <c r="BV195" s="497" t="str">
        <f t="shared" si="99"/>
        <v>Consistent</v>
      </c>
      <c r="BW195" s="497" t="str">
        <f t="shared" si="99"/>
        <v>Consistent</v>
      </c>
      <c r="BX195" s="497" t="str">
        <f t="shared" si="99"/>
        <v>Consistent</v>
      </c>
      <c r="BY195" s="497" t="str">
        <f t="shared" si="99"/>
        <v>Consistent</v>
      </c>
      <c r="BZ195" s="497" t="str">
        <f t="shared" si="99"/>
        <v>Consistent</v>
      </c>
      <c r="CA195" s="497" t="str">
        <f t="shared" si="99"/>
        <v>Consistent</v>
      </c>
      <c r="CB195" s="497" t="str">
        <f t="shared" si="99"/>
        <v>Consistent</v>
      </c>
      <c r="CC195" s="497" t="str">
        <f t="shared" si="99"/>
        <v>Consistent</v>
      </c>
      <c r="CD195" s="497" t="str">
        <f t="shared" si="99"/>
        <v>Consistent</v>
      </c>
      <c r="CE195" s="497" t="str">
        <f t="shared" si="99"/>
        <v>Consistent</v>
      </c>
      <c r="CF195" s="497" t="str">
        <f t="shared" si="99"/>
        <v>Consistent</v>
      </c>
      <c r="CG195" s="497" t="str">
        <f t="shared" si="99"/>
        <v>Consistent</v>
      </c>
      <c r="CH195" s="497" t="str">
        <f t="shared" si="99"/>
        <v>Consistent</v>
      </c>
      <c r="CI195" s="497" t="str">
        <f t="shared" si="99"/>
        <v>Consistent</v>
      </c>
      <c r="CJ195" s="497" t="str">
        <f t="shared" si="99"/>
        <v>Consistent</v>
      </c>
      <c r="CK195" s="497" t="str">
        <f t="shared" si="99"/>
        <v>Consistent</v>
      </c>
      <c r="CL195" s="497" t="str">
        <f t="shared" si="99"/>
        <v>Consistent</v>
      </c>
      <c r="CM195" s="497" t="str">
        <f t="shared" si="99"/>
        <v>Consistent</v>
      </c>
      <c r="CN195" s="497" t="str">
        <f t="shared" si="99"/>
        <v>Consistent</v>
      </c>
      <c r="CO195" s="497" t="str">
        <f t="shared" si="99"/>
        <v>Consistent</v>
      </c>
      <c r="CP195" s="497" t="str">
        <f t="shared" si="99"/>
        <v>Consistent</v>
      </c>
      <c r="CQ195" s="497" t="str">
        <f t="shared" si="99"/>
        <v>Consistent</v>
      </c>
      <c r="CR195" s="497" t="str">
        <f t="shared" si="99"/>
        <v>Consistent</v>
      </c>
      <c r="CS195" s="497" t="str">
        <f t="shared" si="99"/>
        <v>Consistent</v>
      </c>
      <c r="CT195" s="497" t="str">
        <f t="shared" si="99"/>
        <v>Consistent</v>
      </c>
      <c r="CU195" s="497" t="str">
        <f t="shared" ref="CU195:DZ195" si="100">IF(SUM(CU178:CU194)=CU151, "Consistent", "Inconsistent")</f>
        <v>Consistent</v>
      </c>
      <c r="CV195" s="497" t="str">
        <f t="shared" si="100"/>
        <v>Consistent</v>
      </c>
      <c r="CW195" s="497" t="str">
        <f t="shared" si="100"/>
        <v>Consistent</v>
      </c>
      <c r="CX195" s="497" t="str">
        <f t="shared" si="100"/>
        <v>Consistent</v>
      </c>
      <c r="CY195" s="497" t="str">
        <f t="shared" si="100"/>
        <v>Consistent</v>
      </c>
      <c r="CZ195" s="497" t="str">
        <f t="shared" si="100"/>
        <v>Consistent</v>
      </c>
      <c r="DA195" s="497" t="str">
        <f t="shared" si="100"/>
        <v>Consistent</v>
      </c>
      <c r="DB195" s="497" t="str">
        <f t="shared" si="100"/>
        <v>Consistent</v>
      </c>
      <c r="DC195" s="497" t="str">
        <f t="shared" si="100"/>
        <v>Consistent</v>
      </c>
      <c r="DD195" s="497" t="str">
        <f t="shared" si="100"/>
        <v>Consistent</v>
      </c>
      <c r="DE195" s="497" t="str">
        <f t="shared" si="100"/>
        <v>Consistent</v>
      </c>
      <c r="DF195" s="497" t="str">
        <f t="shared" si="100"/>
        <v>Consistent</v>
      </c>
      <c r="DG195" s="497" t="str">
        <f t="shared" si="100"/>
        <v>Consistent</v>
      </c>
      <c r="DH195" s="497" t="str">
        <f t="shared" si="100"/>
        <v>Consistent</v>
      </c>
      <c r="DI195" s="497" t="str">
        <f t="shared" si="100"/>
        <v>Consistent</v>
      </c>
      <c r="DJ195" s="497" t="str">
        <f t="shared" si="100"/>
        <v>Consistent</v>
      </c>
      <c r="DK195" s="497" t="str">
        <f t="shared" si="100"/>
        <v>Consistent</v>
      </c>
      <c r="DL195" s="497" t="str">
        <f t="shared" si="100"/>
        <v>Consistent</v>
      </c>
      <c r="DM195" s="497" t="str">
        <f t="shared" si="100"/>
        <v>Consistent</v>
      </c>
      <c r="DN195" s="497" t="str">
        <f t="shared" si="100"/>
        <v>Consistent</v>
      </c>
      <c r="DO195" s="497" t="str">
        <f t="shared" si="100"/>
        <v>Consistent</v>
      </c>
      <c r="DP195" s="497" t="str">
        <f t="shared" si="100"/>
        <v>Consistent</v>
      </c>
      <c r="DQ195" s="497" t="str">
        <f t="shared" si="100"/>
        <v>Consistent</v>
      </c>
      <c r="DR195" s="497" t="str">
        <f t="shared" si="100"/>
        <v>Consistent</v>
      </c>
      <c r="DS195" s="497" t="str">
        <f t="shared" si="100"/>
        <v>Consistent</v>
      </c>
      <c r="DT195" s="497" t="str">
        <f t="shared" si="100"/>
        <v>Consistent</v>
      </c>
      <c r="DU195" s="497" t="str">
        <f t="shared" si="100"/>
        <v>Consistent</v>
      </c>
      <c r="DV195" s="497" t="str">
        <f t="shared" si="100"/>
        <v>Consistent</v>
      </c>
      <c r="DW195" s="497" t="str">
        <f t="shared" si="100"/>
        <v>Consistent</v>
      </c>
      <c r="DX195" s="497" t="str">
        <f t="shared" si="100"/>
        <v>Consistent</v>
      </c>
      <c r="DY195" s="497" t="str">
        <f t="shared" si="100"/>
        <v>Consistent</v>
      </c>
      <c r="DZ195" s="497" t="str">
        <f t="shared" si="100"/>
        <v>Consistent</v>
      </c>
      <c r="EA195" s="497" t="str">
        <f t="shared" ref="EA195:EI195" si="101">IF(SUM(EA178:EA194)=EA151, "Consistent", "Inconsistent")</f>
        <v>Consistent</v>
      </c>
      <c r="EB195" s="497" t="str">
        <f t="shared" si="101"/>
        <v>Consistent</v>
      </c>
      <c r="EC195" s="497" t="str">
        <f t="shared" si="101"/>
        <v>Consistent</v>
      </c>
      <c r="ED195" s="497" t="str">
        <f t="shared" si="101"/>
        <v>Consistent</v>
      </c>
      <c r="EE195" s="497" t="str">
        <f t="shared" si="101"/>
        <v>Consistent</v>
      </c>
      <c r="EF195" s="497" t="str">
        <f t="shared" si="101"/>
        <v>Consistent</v>
      </c>
      <c r="EG195" s="497" t="str">
        <f t="shared" si="101"/>
        <v>Consistent</v>
      </c>
      <c r="EH195" s="497" t="str">
        <f t="shared" si="101"/>
        <v>Consistent</v>
      </c>
      <c r="EI195" s="497" t="str">
        <f t="shared" si="101"/>
        <v>Consistent</v>
      </c>
      <c r="EJ195" s="496">
        <f>SUM(EJ178:EJ194)</f>
        <v>46446933.179000005</v>
      </c>
    </row>
    <row r="196" spans="1:156">
      <c r="B196" s="462"/>
      <c r="E196"/>
      <c r="EK196" s="67"/>
      <c r="EL196" s="67"/>
      <c r="EM196" s="67"/>
      <c r="EN196" s="67"/>
      <c r="EO196" s="67"/>
      <c r="EP196" s="67"/>
      <c r="EQ196" s="67"/>
      <c r="ER196" s="67"/>
      <c r="ES196" s="67"/>
      <c r="ET196" s="67"/>
      <c r="EU196" s="67"/>
      <c r="EV196" s="67"/>
      <c r="EW196" s="67"/>
      <c r="EX196" s="67"/>
      <c r="EY196" s="67"/>
      <c r="EZ196" s="67"/>
    </row>
    <row r="197" spans="1:156">
      <c r="B197" s="462"/>
      <c r="E197"/>
      <c r="EK197" s="67"/>
      <c r="EL197" s="67"/>
      <c r="EM197" s="67"/>
      <c r="EN197" s="67"/>
      <c r="EO197" s="67"/>
      <c r="EP197" s="67"/>
      <c r="EQ197" s="67"/>
      <c r="ER197" s="67"/>
      <c r="ES197" s="67"/>
      <c r="ET197" s="67"/>
      <c r="EU197" s="67"/>
      <c r="EV197" s="67"/>
      <c r="EW197" s="67"/>
      <c r="EX197" s="67"/>
      <c r="EY197" s="67"/>
      <c r="EZ197" s="67"/>
    </row>
    <row r="198" spans="1:156" ht="15.6">
      <c r="A198" s="99"/>
      <c r="B198" s="503" t="s">
        <v>102</v>
      </c>
      <c r="C198" s="99"/>
      <c r="D198" s="99"/>
      <c r="E198" s="99"/>
      <c r="F198" s="99"/>
      <c r="G198" s="99"/>
      <c r="H198" s="99"/>
      <c r="I198" s="99"/>
      <c r="J198" s="99"/>
      <c r="K198" s="99"/>
      <c r="L198" s="99"/>
      <c r="M198" s="99"/>
      <c r="N198" s="99"/>
      <c r="O198" s="99"/>
      <c r="P198" s="99"/>
      <c r="Q198" s="99"/>
      <c r="R198" s="99"/>
      <c r="S198" s="99"/>
      <c r="T198" s="99"/>
      <c r="U198" s="99"/>
      <c r="V198" s="99"/>
      <c r="W198" s="99"/>
      <c r="X198" s="99"/>
      <c r="Y198" s="99"/>
      <c r="Z198" s="99"/>
      <c r="AA198" s="99"/>
      <c r="AB198" s="99"/>
      <c r="AC198" s="99"/>
      <c r="AD198" s="99"/>
      <c r="AE198" s="99"/>
      <c r="AF198" s="99"/>
      <c r="AG198" s="99"/>
      <c r="AH198" s="99"/>
      <c r="AI198" s="99"/>
      <c r="AJ198" s="99"/>
      <c r="AK198" s="99"/>
      <c r="AL198" s="99"/>
      <c r="AM198" s="99"/>
      <c r="AN198" s="99"/>
      <c r="AO198" s="99"/>
      <c r="AP198" s="99"/>
      <c r="AQ198" s="99"/>
      <c r="AR198" s="99"/>
      <c r="AS198" s="99"/>
      <c r="AT198" s="99"/>
      <c r="AU198" s="99"/>
      <c r="AV198" s="99"/>
      <c r="AW198" s="99"/>
      <c r="AX198" s="99"/>
      <c r="AY198" s="99"/>
      <c r="AZ198" s="99"/>
      <c r="BA198" s="99"/>
      <c r="BB198" s="99"/>
      <c r="BC198" s="99"/>
      <c r="BD198" s="99"/>
      <c r="BE198" s="99"/>
      <c r="BF198" s="99"/>
      <c r="BG198" s="99"/>
      <c r="BH198" s="99"/>
      <c r="BI198" s="99"/>
      <c r="BJ198" s="99"/>
      <c r="BK198" s="99"/>
      <c r="BL198" s="99"/>
      <c r="BM198" s="99"/>
      <c r="BN198" s="99"/>
      <c r="BO198" s="99"/>
      <c r="BP198" s="99"/>
      <c r="BQ198" s="99"/>
      <c r="BR198" s="99"/>
      <c r="BS198" s="99"/>
      <c r="BT198" s="99"/>
      <c r="BU198" s="99"/>
      <c r="BV198" s="99"/>
      <c r="BW198" s="99"/>
      <c r="BX198" s="99"/>
      <c r="BY198" s="99"/>
      <c r="BZ198" s="99"/>
      <c r="CA198" s="99"/>
      <c r="CB198" s="99"/>
      <c r="CC198" s="99"/>
      <c r="CD198" s="99"/>
      <c r="CE198" s="99"/>
      <c r="CF198" s="99"/>
      <c r="CG198" s="99"/>
      <c r="CH198" s="99"/>
      <c r="CI198" s="99"/>
      <c r="CJ198" s="99"/>
      <c r="CK198" s="99"/>
      <c r="CL198" s="99"/>
      <c r="CM198" s="99"/>
      <c r="CN198" s="99"/>
      <c r="CO198" s="99"/>
      <c r="CP198" s="99"/>
      <c r="CQ198" s="99"/>
      <c r="CR198" s="99"/>
      <c r="CS198" s="99"/>
      <c r="CT198" s="99"/>
      <c r="CU198" s="99"/>
      <c r="CV198" s="99"/>
      <c r="CW198" s="99"/>
      <c r="CX198" s="99"/>
      <c r="CY198" s="99"/>
      <c r="CZ198" s="99"/>
      <c r="DA198" s="99"/>
      <c r="DB198" s="99"/>
      <c r="DC198" s="99"/>
      <c r="DD198" s="99"/>
      <c r="DE198" s="99"/>
      <c r="DF198" s="99"/>
      <c r="DG198" s="99"/>
      <c r="DH198" s="99"/>
      <c r="DI198" s="99"/>
      <c r="DJ198" s="99"/>
      <c r="DK198" s="99"/>
      <c r="DL198" s="99"/>
      <c r="DM198" s="99"/>
      <c r="DN198" s="99"/>
      <c r="DO198" s="99"/>
      <c r="DP198" s="99"/>
      <c r="DQ198" s="99"/>
      <c r="DR198" s="99"/>
      <c r="DS198" s="99"/>
      <c r="DT198" s="99"/>
      <c r="DU198" s="99"/>
      <c r="DV198" s="99"/>
      <c r="DW198" s="99"/>
      <c r="DX198" s="99"/>
      <c r="DY198" s="99"/>
      <c r="DZ198" s="99"/>
      <c r="EA198" s="99"/>
      <c r="EB198" s="99"/>
      <c r="EC198" s="99"/>
      <c r="ED198" s="99"/>
      <c r="EE198" s="99"/>
      <c r="EF198" s="99"/>
      <c r="EG198" s="99"/>
      <c r="EH198" s="99"/>
      <c r="EI198" s="99"/>
      <c r="EJ198" s="99"/>
      <c r="EK198" s="67"/>
      <c r="EL198" s="67"/>
      <c r="EM198" s="67"/>
      <c r="EN198" s="67"/>
      <c r="EO198" s="67"/>
      <c r="EP198" s="67"/>
      <c r="EQ198" s="67"/>
      <c r="ER198" s="67"/>
      <c r="ES198" s="67"/>
      <c r="ET198" s="67"/>
      <c r="EU198" s="67"/>
      <c r="EV198" s="67"/>
      <c r="EW198" s="67"/>
      <c r="EX198" s="67"/>
      <c r="EY198" s="67"/>
      <c r="EZ198" s="67"/>
    </row>
    <row r="199" spans="1:156">
      <c r="B199" s="500" t="s">
        <v>98</v>
      </c>
      <c r="C199" s="499" t="str">
        <f t="shared" ref="C199:AH199" si="102">IF(C159=1, C$152/C$156, "")</f>
        <v/>
      </c>
      <c r="D199" s="499">
        <f t="shared" si="102"/>
        <v>68070</v>
      </c>
      <c r="E199" s="499">
        <f t="shared" si="102"/>
        <v>243125</v>
      </c>
      <c r="F199" s="499">
        <f t="shared" si="102"/>
        <v>822.66666666666663</v>
      </c>
      <c r="G199" s="499" t="str">
        <f t="shared" si="102"/>
        <v/>
      </c>
      <c r="H199" s="499">
        <f t="shared" si="102"/>
        <v>17291.6875</v>
      </c>
      <c r="I199" s="499">
        <f t="shared" si="102"/>
        <v>53537.666666666664</v>
      </c>
      <c r="J199" s="499">
        <f t="shared" si="102"/>
        <v>68873.333333333328</v>
      </c>
      <c r="K199" s="499" t="str">
        <f t="shared" si="102"/>
        <v/>
      </c>
      <c r="L199" s="499" t="str">
        <f t="shared" si="102"/>
        <v/>
      </c>
      <c r="M199" s="499">
        <f t="shared" si="102"/>
        <v>292666.5</v>
      </c>
      <c r="N199" s="499" t="str">
        <f t="shared" si="102"/>
        <v/>
      </c>
      <c r="O199" s="499" t="str">
        <f t="shared" si="102"/>
        <v/>
      </c>
      <c r="P199" s="499" t="str">
        <f t="shared" si="102"/>
        <v/>
      </c>
      <c r="Q199" s="499" t="str">
        <f t="shared" si="102"/>
        <v/>
      </c>
      <c r="R199" s="499">
        <f t="shared" si="102"/>
        <v>1323550.7949999999</v>
      </c>
      <c r="S199" s="499" t="str">
        <f t="shared" si="102"/>
        <v/>
      </c>
      <c r="T199" s="499" t="str">
        <f t="shared" si="102"/>
        <v/>
      </c>
      <c r="U199" s="499" t="str">
        <f t="shared" si="102"/>
        <v/>
      </c>
      <c r="V199" s="499" t="str">
        <f t="shared" si="102"/>
        <v/>
      </c>
      <c r="W199" s="499">
        <f t="shared" si="102"/>
        <v>10000</v>
      </c>
      <c r="X199" s="499">
        <f t="shared" si="102"/>
        <v>1972167.5</v>
      </c>
      <c r="Y199" s="499">
        <f t="shared" si="102"/>
        <v>9889.6666666666661</v>
      </c>
      <c r="Z199" s="499" t="str">
        <f t="shared" si="102"/>
        <v/>
      </c>
      <c r="AA199" s="499" t="str">
        <f t="shared" si="102"/>
        <v/>
      </c>
      <c r="AB199" s="499" t="str">
        <f t="shared" si="102"/>
        <v/>
      </c>
      <c r="AC199" s="499" t="str">
        <f t="shared" si="102"/>
        <v/>
      </c>
      <c r="AD199" s="499" t="str">
        <f t="shared" si="102"/>
        <v/>
      </c>
      <c r="AE199" s="499" t="str">
        <f t="shared" si="102"/>
        <v/>
      </c>
      <c r="AF199" s="499" t="str">
        <f t="shared" si="102"/>
        <v/>
      </c>
      <c r="AG199" s="499" t="str">
        <f t="shared" si="102"/>
        <v/>
      </c>
      <c r="AH199" s="499">
        <f t="shared" si="102"/>
        <v>0</v>
      </c>
      <c r="AI199" s="499" t="str">
        <f t="shared" ref="AI199:BN199" si="103">IF(AI159=1, AI$152/AI$156, "")</f>
        <v/>
      </c>
      <c r="AJ199" s="499">
        <f t="shared" si="103"/>
        <v>406310.09428571432</v>
      </c>
      <c r="AK199" s="499" t="str">
        <f t="shared" si="103"/>
        <v/>
      </c>
      <c r="AL199" s="499" t="str">
        <f t="shared" si="103"/>
        <v/>
      </c>
      <c r="AM199" s="499" t="str">
        <f t="shared" si="103"/>
        <v/>
      </c>
      <c r="AN199" s="499">
        <f t="shared" si="103"/>
        <v>84958.095714285722</v>
      </c>
      <c r="AO199" s="499" t="str">
        <f t="shared" si="103"/>
        <v/>
      </c>
      <c r="AP199" s="499" t="str">
        <f t="shared" si="103"/>
        <v/>
      </c>
      <c r="AQ199" s="499" t="str">
        <f t="shared" si="103"/>
        <v/>
      </c>
      <c r="AR199" s="499" t="str">
        <f t="shared" si="103"/>
        <v/>
      </c>
      <c r="AS199" s="499" t="str">
        <f t="shared" si="103"/>
        <v/>
      </c>
      <c r="AT199" s="499" t="str">
        <f t="shared" si="103"/>
        <v/>
      </c>
      <c r="AU199" s="499" t="str">
        <f t="shared" si="103"/>
        <v/>
      </c>
      <c r="AV199" s="499" t="str">
        <f t="shared" si="103"/>
        <v/>
      </c>
      <c r="AW199" s="499">
        <f t="shared" si="103"/>
        <v>2102.5</v>
      </c>
      <c r="AX199" s="499" t="str">
        <f t="shared" si="103"/>
        <v/>
      </c>
      <c r="AY199" s="499">
        <f t="shared" si="103"/>
        <v>203632.5625</v>
      </c>
      <c r="AZ199" s="499">
        <f t="shared" si="103"/>
        <v>45282.285714285717</v>
      </c>
      <c r="BA199" s="499">
        <f t="shared" si="103"/>
        <v>4107.1428571428569</v>
      </c>
      <c r="BB199" s="499">
        <f t="shared" si="103"/>
        <v>28478.4375</v>
      </c>
      <c r="BC199" s="499" t="str">
        <f t="shared" si="103"/>
        <v/>
      </c>
      <c r="BD199" s="499" t="str">
        <f t="shared" si="103"/>
        <v/>
      </c>
      <c r="BE199" s="499" t="str">
        <f t="shared" si="103"/>
        <v/>
      </c>
      <c r="BF199" s="499" t="str">
        <f t="shared" si="103"/>
        <v/>
      </c>
      <c r="BG199" s="499" t="str">
        <f t="shared" si="103"/>
        <v/>
      </c>
      <c r="BH199" s="499" t="str">
        <f t="shared" si="103"/>
        <v/>
      </c>
      <c r="BI199" s="499" t="str">
        <f t="shared" si="103"/>
        <v/>
      </c>
      <c r="BJ199" s="499" t="str">
        <f t="shared" si="103"/>
        <v/>
      </c>
      <c r="BK199" s="499">
        <f t="shared" si="103"/>
        <v>312333.33333333331</v>
      </c>
      <c r="BL199" s="499" t="str">
        <f t="shared" si="103"/>
        <v/>
      </c>
      <c r="BM199" s="499" t="str">
        <f t="shared" si="103"/>
        <v/>
      </c>
      <c r="BN199" s="499" t="str">
        <f t="shared" si="103"/>
        <v/>
      </c>
      <c r="BO199" s="499" t="str">
        <f t="shared" ref="BO199:CT199" si="104">IF(BO159=1, BO$152/BO$156, "")</f>
        <v/>
      </c>
      <c r="BP199" s="499">
        <f t="shared" si="104"/>
        <v>187975</v>
      </c>
      <c r="BQ199" s="499" t="str">
        <f t="shared" si="104"/>
        <v/>
      </c>
      <c r="BR199" s="499" t="str">
        <f t="shared" si="104"/>
        <v/>
      </c>
      <c r="BS199" s="499" t="str">
        <f t="shared" si="104"/>
        <v/>
      </c>
      <c r="BT199" s="499">
        <f t="shared" si="104"/>
        <v>0</v>
      </c>
      <c r="BU199" s="499" t="str">
        <f t="shared" si="104"/>
        <v/>
      </c>
      <c r="BV199" s="499" t="str">
        <f t="shared" si="104"/>
        <v/>
      </c>
      <c r="BW199" s="499" t="str">
        <f t="shared" si="104"/>
        <v/>
      </c>
      <c r="BX199" s="499" t="str">
        <f t="shared" si="104"/>
        <v/>
      </c>
      <c r="BY199" s="499">
        <f t="shared" si="104"/>
        <v>1484.3333333333333</v>
      </c>
      <c r="BZ199" s="499" t="str">
        <f t="shared" si="104"/>
        <v/>
      </c>
      <c r="CA199" s="499" t="str">
        <f t="shared" si="104"/>
        <v/>
      </c>
      <c r="CB199" s="499">
        <f t="shared" si="104"/>
        <v>15378.809523809525</v>
      </c>
      <c r="CC199" s="499" t="str">
        <f t="shared" si="104"/>
        <v/>
      </c>
      <c r="CD199" s="499" t="str">
        <f t="shared" si="104"/>
        <v/>
      </c>
      <c r="CE199" s="499" t="str">
        <f t="shared" si="104"/>
        <v/>
      </c>
      <c r="CF199" s="499" t="str">
        <f t="shared" si="104"/>
        <v/>
      </c>
      <c r="CG199" s="499" t="str">
        <f t="shared" si="104"/>
        <v/>
      </c>
      <c r="CH199" s="499" t="str">
        <f t="shared" si="104"/>
        <v/>
      </c>
      <c r="CI199" s="499" t="str">
        <f t="shared" si="104"/>
        <v/>
      </c>
      <c r="CJ199" s="499">
        <f t="shared" si="104"/>
        <v>0</v>
      </c>
      <c r="CK199" s="499">
        <f t="shared" si="104"/>
        <v>363969</v>
      </c>
      <c r="CL199" s="499" t="str">
        <f t="shared" si="104"/>
        <v/>
      </c>
      <c r="CM199" s="499" t="str">
        <f t="shared" si="104"/>
        <v/>
      </c>
      <c r="CN199" s="499" t="str">
        <f t="shared" si="104"/>
        <v/>
      </c>
      <c r="CO199" s="499" t="str">
        <f t="shared" si="104"/>
        <v/>
      </c>
      <c r="CP199" s="499">
        <f t="shared" si="104"/>
        <v>684050</v>
      </c>
      <c r="CQ199" s="499" t="str">
        <f t="shared" si="104"/>
        <v/>
      </c>
      <c r="CR199" s="499" t="str">
        <f t="shared" si="104"/>
        <v/>
      </c>
      <c r="CS199" s="499" t="str">
        <f t="shared" si="104"/>
        <v/>
      </c>
      <c r="CT199" s="499">
        <f t="shared" si="104"/>
        <v>75000</v>
      </c>
      <c r="CU199" s="499" t="str">
        <f t="shared" ref="CU199:DZ199" si="105">IF(CU159=1, CU$152/CU$156, "")</f>
        <v/>
      </c>
      <c r="CV199" s="499">
        <f t="shared" si="105"/>
        <v>7821</v>
      </c>
      <c r="CW199" s="499" t="str">
        <f t="shared" si="105"/>
        <v/>
      </c>
      <c r="CX199" s="499">
        <f t="shared" si="105"/>
        <v>48350.104666666666</v>
      </c>
      <c r="CY199" s="499">
        <f t="shared" si="105"/>
        <v>2268.6666666666665</v>
      </c>
      <c r="CZ199" s="499">
        <f t="shared" si="105"/>
        <v>2435.6666666666665</v>
      </c>
      <c r="DA199" s="499">
        <f t="shared" si="105"/>
        <v>73500</v>
      </c>
      <c r="DB199" s="499" t="str">
        <f t="shared" si="105"/>
        <v/>
      </c>
      <c r="DC199" s="499">
        <f t="shared" si="105"/>
        <v>275823.3125</v>
      </c>
      <c r="DD199" s="499">
        <f t="shared" si="105"/>
        <v>2170761.3333333335</v>
      </c>
      <c r="DE199" s="499">
        <f t="shared" si="105"/>
        <v>570383.32615384622</v>
      </c>
      <c r="DF199" s="499" t="str">
        <f t="shared" si="105"/>
        <v/>
      </c>
      <c r="DG199" s="499" t="str">
        <f t="shared" si="105"/>
        <v/>
      </c>
      <c r="DH199" s="499">
        <f t="shared" si="105"/>
        <v>3018.8095714285714</v>
      </c>
      <c r="DI199" s="499" t="str">
        <f t="shared" si="105"/>
        <v/>
      </c>
      <c r="DJ199" s="499" t="str">
        <f t="shared" si="105"/>
        <v/>
      </c>
      <c r="DK199" s="499">
        <f t="shared" si="105"/>
        <v>250</v>
      </c>
      <c r="DL199" s="499" t="str">
        <f t="shared" si="105"/>
        <v/>
      </c>
      <c r="DM199" s="499" t="str">
        <f t="shared" si="105"/>
        <v/>
      </c>
      <c r="DN199" s="499" t="str">
        <f t="shared" si="105"/>
        <v/>
      </c>
      <c r="DO199" s="499" t="str">
        <f t="shared" si="105"/>
        <v/>
      </c>
      <c r="DP199" s="499" t="str">
        <f t="shared" si="105"/>
        <v/>
      </c>
      <c r="DQ199" s="499" t="str">
        <f t="shared" si="105"/>
        <v/>
      </c>
      <c r="DR199" s="499">
        <f t="shared" si="105"/>
        <v>132087.5</v>
      </c>
      <c r="DS199" s="499">
        <f t="shared" si="105"/>
        <v>421000</v>
      </c>
      <c r="DT199" s="499" t="str">
        <f t="shared" si="105"/>
        <v/>
      </c>
      <c r="DU199" s="499" t="str">
        <f t="shared" si="105"/>
        <v/>
      </c>
      <c r="DV199" s="499" t="str">
        <f t="shared" si="105"/>
        <v/>
      </c>
      <c r="DW199" s="499" t="str">
        <f t="shared" si="105"/>
        <v/>
      </c>
      <c r="DX199" s="499">
        <f t="shared" si="105"/>
        <v>6545839</v>
      </c>
      <c r="DY199" s="499" t="str">
        <f t="shared" si="105"/>
        <v/>
      </c>
      <c r="DZ199" s="499" t="str">
        <f t="shared" si="105"/>
        <v/>
      </c>
      <c r="EA199" s="499" t="str">
        <f t="shared" ref="EA199:EI199" si="106">IF(EA159=1, EA$152/EA$156, "")</f>
        <v/>
      </c>
      <c r="EB199" s="499" t="str">
        <f t="shared" si="106"/>
        <v/>
      </c>
      <c r="EC199" s="499" t="str">
        <f t="shared" si="106"/>
        <v/>
      </c>
      <c r="ED199" s="499" t="str">
        <f t="shared" si="106"/>
        <v/>
      </c>
      <c r="EE199" s="499">
        <f t="shared" si="106"/>
        <v>2612500</v>
      </c>
      <c r="EF199" s="499" t="str">
        <f t="shared" si="106"/>
        <v/>
      </c>
      <c r="EG199" s="499" t="str">
        <f t="shared" si="106"/>
        <v/>
      </c>
      <c r="EH199" s="499" t="str">
        <f t="shared" si="106"/>
        <v/>
      </c>
      <c r="EI199" s="499" t="str">
        <f t="shared" si="106"/>
        <v/>
      </c>
      <c r="EJ199" s="499">
        <f t="shared" ref="EJ199:EJ215" si="107">SUM(C199:EI199)</f>
        <v>19341095.130153846</v>
      </c>
      <c r="EK199" s="67"/>
      <c r="EL199" s="67"/>
      <c r="EM199" s="67"/>
      <c r="EN199" s="67"/>
      <c r="EO199" s="67"/>
      <c r="EP199" s="67"/>
      <c r="EQ199" s="67"/>
      <c r="ER199" s="67"/>
      <c r="ES199" s="67"/>
      <c r="ET199" s="67"/>
      <c r="EU199" s="67"/>
      <c r="EV199" s="67"/>
      <c r="EW199" s="67"/>
      <c r="EX199" s="67"/>
      <c r="EY199" s="67"/>
      <c r="EZ199" s="67"/>
    </row>
    <row r="200" spans="1:156">
      <c r="B200" s="500" t="s">
        <v>92</v>
      </c>
      <c r="C200" s="499">
        <f t="shared" ref="C200:AH200" si="108">IF(C160=1, C$152/C$156, "")</f>
        <v>75000</v>
      </c>
      <c r="D200" s="499" t="str">
        <f t="shared" si="108"/>
        <v/>
      </c>
      <c r="E200" s="499" t="str">
        <f t="shared" si="108"/>
        <v/>
      </c>
      <c r="F200" s="499">
        <f t="shared" si="108"/>
        <v>822.66666666666663</v>
      </c>
      <c r="G200" s="499" t="str">
        <f t="shared" si="108"/>
        <v/>
      </c>
      <c r="H200" s="499">
        <f t="shared" si="108"/>
        <v>17291.6875</v>
      </c>
      <c r="I200" s="499">
        <f t="shared" si="108"/>
        <v>53537.666666666664</v>
      </c>
      <c r="J200" s="499">
        <f t="shared" si="108"/>
        <v>68873.333333333328</v>
      </c>
      <c r="K200" s="499" t="str">
        <f t="shared" si="108"/>
        <v/>
      </c>
      <c r="L200" s="499" t="str">
        <f t="shared" si="108"/>
        <v/>
      </c>
      <c r="M200" s="499" t="str">
        <f t="shared" si="108"/>
        <v/>
      </c>
      <c r="N200" s="499" t="str">
        <f t="shared" si="108"/>
        <v/>
      </c>
      <c r="O200" s="499" t="str">
        <f t="shared" si="108"/>
        <v/>
      </c>
      <c r="P200" s="499" t="str">
        <f t="shared" si="108"/>
        <v/>
      </c>
      <c r="Q200" s="499" t="str">
        <f t="shared" si="108"/>
        <v/>
      </c>
      <c r="R200" s="499">
        <f t="shared" si="108"/>
        <v>1323550.7949999999</v>
      </c>
      <c r="S200" s="499" t="str">
        <f t="shared" si="108"/>
        <v/>
      </c>
      <c r="T200" s="499" t="str">
        <f t="shared" si="108"/>
        <v/>
      </c>
      <c r="U200" s="499" t="str">
        <f t="shared" si="108"/>
        <v/>
      </c>
      <c r="V200" s="499" t="str">
        <f t="shared" si="108"/>
        <v/>
      </c>
      <c r="W200" s="499">
        <f t="shared" si="108"/>
        <v>10000</v>
      </c>
      <c r="X200" s="499">
        <f t="shared" si="108"/>
        <v>1972167.5</v>
      </c>
      <c r="Y200" s="499">
        <f t="shared" si="108"/>
        <v>9889.6666666666661</v>
      </c>
      <c r="Z200" s="499" t="str">
        <f t="shared" si="108"/>
        <v/>
      </c>
      <c r="AA200" s="499" t="str">
        <f t="shared" si="108"/>
        <v/>
      </c>
      <c r="AB200" s="499" t="str">
        <f t="shared" si="108"/>
        <v/>
      </c>
      <c r="AC200" s="499">
        <f t="shared" si="108"/>
        <v>394200</v>
      </c>
      <c r="AD200" s="499" t="str">
        <f t="shared" si="108"/>
        <v/>
      </c>
      <c r="AE200" s="499" t="str">
        <f t="shared" si="108"/>
        <v/>
      </c>
      <c r="AF200" s="499" t="str">
        <f t="shared" si="108"/>
        <v/>
      </c>
      <c r="AG200" s="499" t="str">
        <f t="shared" si="108"/>
        <v/>
      </c>
      <c r="AH200" s="499">
        <f t="shared" si="108"/>
        <v>0</v>
      </c>
      <c r="AI200" s="499" t="str">
        <f t="shared" ref="AI200:BN200" si="109">IF(AI160=1, AI$152/AI$156, "")</f>
        <v/>
      </c>
      <c r="AJ200" s="499">
        <f t="shared" si="109"/>
        <v>406310.09428571432</v>
      </c>
      <c r="AK200" s="499" t="str">
        <f t="shared" si="109"/>
        <v/>
      </c>
      <c r="AL200" s="499" t="str">
        <f t="shared" si="109"/>
        <v/>
      </c>
      <c r="AM200" s="499" t="str">
        <f t="shared" si="109"/>
        <v/>
      </c>
      <c r="AN200" s="499">
        <f t="shared" si="109"/>
        <v>84958.095714285722</v>
      </c>
      <c r="AO200" s="499" t="str">
        <f t="shared" si="109"/>
        <v/>
      </c>
      <c r="AP200" s="499" t="str">
        <f t="shared" si="109"/>
        <v/>
      </c>
      <c r="AQ200" s="499" t="str">
        <f t="shared" si="109"/>
        <v/>
      </c>
      <c r="AR200" s="499" t="str">
        <f t="shared" si="109"/>
        <v/>
      </c>
      <c r="AS200" s="499" t="str">
        <f t="shared" si="109"/>
        <v/>
      </c>
      <c r="AT200" s="499" t="str">
        <f t="shared" si="109"/>
        <v/>
      </c>
      <c r="AU200" s="499" t="str">
        <f t="shared" si="109"/>
        <v/>
      </c>
      <c r="AV200" s="499" t="str">
        <f t="shared" si="109"/>
        <v/>
      </c>
      <c r="AW200" s="499" t="str">
        <f t="shared" si="109"/>
        <v/>
      </c>
      <c r="AX200" s="499" t="str">
        <f t="shared" si="109"/>
        <v/>
      </c>
      <c r="AY200" s="499">
        <f t="shared" si="109"/>
        <v>203632.5625</v>
      </c>
      <c r="AZ200" s="499">
        <f t="shared" si="109"/>
        <v>45282.285714285717</v>
      </c>
      <c r="BA200" s="499">
        <f t="shared" si="109"/>
        <v>4107.1428571428569</v>
      </c>
      <c r="BB200" s="499">
        <f t="shared" si="109"/>
        <v>28478.4375</v>
      </c>
      <c r="BC200" s="499" t="str">
        <f t="shared" si="109"/>
        <v/>
      </c>
      <c r="BD200" s="499" t="str">
        <f t="shared" si="109"/>
        <v/>
      </c>
      <c r="BE200" s="499">
        <f t="shared" si="109"/>
        <v>8400</v>
      </c>
      <c r="BF200" s="499" t="str">
        <f t="shared" si="109"/>
        <v/>
      </c>
      <c r="BG200" s="499">
        <f t="shared" si="109"/>
        <v>504875</v>
      </c>
      <c r="BH200" s="499" t="str">
        <f t="shared" si="109"/>
        <v/>
      </c>
      <c r="BI200" s="499" t="str">
        <f t="shared" si="109"/>
        <v/>
      </c>
      <c r="BJ200" s="499" t="str">
        <f t="shared" si="109"/>
        <v/>
      </c>
      <c r="BK200" s="499">
        <f t="shared" si="109"/>
        <v>312333.33333333331</v>
      </c>
      <c r="BL200" s="499" t="str">
        <f t="shared" si="109"/>
        <v/>
      </c>
      <c r="BM200" s="499">
        <f t="shared" si="109"/>
        <v>300000</v>
      </c>
      <c r="BN200" s="499" t="str">
        <f t="shared" si="109"/>
        <v/>
      </c>
      <c r="BO200" s="499" t="str">
        <f t="shared" ref="BO200:CT200" si="110">IF(BO160=1, BO$152/BO$156, "")</f>
        <v/>
      </c>
      <c r="BP200" s="499">
        <f t="shared" si="110"/>
        <v>187975</v>
      </c>
      <c r="BQ200" s="499" t="str">
        <f t="shared" si="110"/>
        <v/>
      </c>
      <c r="BR200" s="499" t="str">
        <f t="shared" si="110"/>
        <v/>
      </c>
      <c r="BS200" s="499" t="str">
        <f t="shared" si="110"/>
        <v/>
      </c>
      <c r="BT200" s="499">
        <f t="shared" si="110"/>
        <v>0</v>
      </c>
      <c r="BU200" s="499" t="str">
        <f t="shared" si="110"/>
        <v/>
      </c>
      <c r="BV200" s="499" t="str">
        <f t="shared" si="110"/>
        <v/>
      </c>
      <c r="BW200" s="499" t="str">
        <f t="shared" si="110"/>
        <v/>
      </c>
      <c r="BX200" s="499" t="str">
        <f t="shared" si="110"/>
        <v/>
      </c>
      <c r="BY200" s="499">
        <f t="shared" si="110"/>
        <v>1484.3333333333333</v>
      </c>
      <c r="BZ200" s="499" t="str">
        <f t="shared" si="110"/>
        <v/>
      </c>
      <c r="CA200" s="499">
        <f t="shared" si="110"/>
        <v>60000</v>
      </c>
      <c r="CB200" s="499">
        <f t="shared" si="110"/>
        <v>15378.809523809525</v>
      </c>
      <c r="CC200" s="499" t="str">
        <f t="shared" si="110"/>
        <v/>
      </c>
      <c r="CD200" s="499" t="str">
        <f t="shared" si="110"/>
        <v/>
      </c>
      <c r="CE200" s="499" t="str">
        <f t="shared" si="110"/>
        <v/>
      </c>
      <c r="CF200" s="499" t="str">
        <f t="shared" si="110"/>
        <v/>
      </c>
      <c r="CG200" s="499" t="str">
        <f t="shared" si="110"/>
        <v/>
      </c>
      <c r="CH200" s="499" t="str">
        <f t="shared" si="110"/>
        <v/>
      </c>
      <c r="CI200" s="499" t="str">
        <f t="shared" si="110"/>
        <v/>
      </c>
      <c r="CJ200" s="499">
        <f t="shared" si="110"/>
        <v>0</v>
      </c>
      <c r="CK200" s="499" t="str">
        <f t="shared" si="110"/>
        <v/>
      </c>
      <c r="CL200" s="499">
        <f t="shared" si="110"/>
        <v>73.2</v>
      </c>
      <c r="CM200" s="499" t="str">
        <f t="shared" si="110"/>
        <v/>
      </c>
      <c r="CN200" s="499" t="str">
        <f t="shared" si="110"/>
        <v/>
      </c>
      <c r="CO200" s="499" t="str">
        <f t="shared" si="110"/>
        <v/>
      </c>
      <c r="CP200" s="499">
        <f t="shared" si="110"/>
        <v>684050</v>
      </c>
      <c r="CQ200" s="499" t="str">
        <f t="shared" si="110"/>
        <v/>
      </c>
      <c r="CR200" s="499" t="str">
        <f t="shared" si="110"/>
        <v/>
      </c>
      <c r="CS200" s="499" t="str">
        <f t="shared" si="110"/>
        <v/>
      </c>
      <c r="CT200" s="499" t="str">
        <f t="shared" si="110"/>
        <v/>
      </c>
      <c r="CU200" s="499" t="str">
        <f t="shared" ref="CU200:DZ200" si="111">IF(CU160=1, CU$152/CU$156, "")</f>
        <v/>
      </c>
      <c r="CV200" s="499" t="str">
        <f t="shared" si="111"/>
        <v/>
      </c>
      <c r="CW200" s="499" t="str">
        <f t="shared" si="111"/>
        <v/>
      </c>
      <c r="CX200" s="499">
        <f t="shared" si="111"/>
        <v>48350.104666666666</v>
      </c>
      <c r="CY200" s="499">
        <f t="shared" si="111"/>
        <v>2268.6666666666665</v>
      </c>
      <c r="CZ200" s="499">
        <f t="shared" si="111"/>
        <v>2435.6666666666665</v>
      </c>
      <c r="DA200" s="499">
        <f t="shared" si="111"/>
        <v>73500</v>
      </c>
      <c r="DB200" s="499" t="str">
        <f t="shared" si="111"/>
        <v/>
      </c>
      <c r="DC200" s="499">
        <f t="shared" si="111"/>
        <v>275823.3125</v>
      </c>
      <c r="DD200" s="499" t="str">
        <f t="shared" si="111"/>
        <v/>
      </c>
      <c r="DE200" s="499">
        <f t="shared" si="111"/>
        <v>570383.32615384622</v>
      </c>
      <c r="DF200" s="499" t="str">
        <f t="shared" si="111"/>
        <v/>
      </c>
      <c r="DG200" s="499" t="str">
        <f t="shared" si="111"/>
        <v/>
      </c>
      <c r="DH200" s="499">
        <f t="shared" si="111"/>
        <v>3018.8095714285714</v>
      </c>
      <c r="DI200" s="499" t="str">
        <f t="shared" si="111"/>
        <v/>
      </c>
      <c r="DJ200" s="499" t="str">
        <f t="shared" si="111"/>
        <v/>
      </c>
      <c r="DK200" s="499">
        <f t="shared" si="111"/>
        <v>250</v>
      </c>
      <c r="DL200" s="499" t="str">
        <f t="shared" si="111"/>
        <v/>
      </c>
      <c r="DM200" s="499" t="str">
        <f t="shared" si="111"/>
        <v/>
      </c>
      <c r="DN200" s="499" t="str">
        <f t="shared" si="111"/>
        <v/>
      </c>
      <c r="DO200" s="499" t="str">
        <f t="shared" si="111"/>
        <v/>
      </c>
      <c r="DP200" s="499" t="str">
        <f t="shared" si="111"/>
        <v/>
      </c>
      <c r="DQ200" s="499" t="str">
        <f t="shared" si="111"/>
        <v/>
      </c>
      <c r="DR200" s="499" t="str">
        <f t="shared" si="111"/>
        <v/>
      </c>
      <c r="DS200" s="499" t="str">
        <f t="shared" si="111"/>
        <v/>
      </c>
      <c r="DT200" s="499" t="str">
        <f t="shared" si="111"/>
        <v/>
      </c>
      <c r="DU200" s="499" t="str">
        <f t="shared" si="111"/>
        <v/>
      </c>
      <c r="DV200" s="499" t="str">
        <f t="shared" si="111"/>
        <v/>
      </c>
      <c r="DW200" s="499" t="str">
        <f t="shared" si="111"/>
        <v/>
      </c>
      <c r="DX200" s="499" t="str">
        <f t="shared" si="111"/>
        <v/>
      </c>
      <c r="DY200" s="499" t="str">
        <f t="shared" si="111"/>
        <v/>
      </c>
      <c r="DZ200" s="499" t="str">
        <f t="shared" si="111"/>
        <v/>
      </c>
      <c r="EA200" s="499">
        <f t="shared" ref="EA200:EI200" si="112">IF(EA160=1, EA$152/EA$156, "")</f>
        <v>100000</v>
      </c>
      <c r="EB200" s="499" t="str">
        <f t="shared" si="112"/>
        <v/>
      </c>
      <c r="EC200" s="499" t="str">
        <f t="shared" si="112"/>
        <v/>
      </c>
      <c r="ED200" s="499" t="str">
        <f t="shared" si="112"/>
        <v/>
      </c>
      <c r="EE200" s="499" t="str">
        <f t="shared" si="112"/>
        <v/>
      </c>
      <c r="EF200" s="499" t="str">
        <f t="shared" si="112"/>
        <v/>
      </c>
      <c r="EG200" s="499" t="str">
        <f t="shared" si="112"/>
        <v/>
      </c>
      <c r="EH200" s="499" t="str">
        <f t="shared" si="112"/>
        <v/>
      </c>
      <c r="EI200" s="499" t="str">
        <f t="shared" si="112"/>
        <v/>
      </c>
      <c r="EJ200" s="499">
        <f t="shared" si="107"/>
        <v>7848701.4968205132</v>
      </c>
      <c r="EK200" s="67"/>
      <c r="EL200" s="67"/>
      <c r="EM200" s="67"/>
      <c r="EN200" s="67"/>
      <c r="EO200" s="67"/>
      <c r="EP200" s="67"/>
      <c r="EQ200" s="67"/>
      <c r="ER200" s="67"/>
      <c r="ES200" s="67"/>
      <c r="ET200" s="67"/>
      <c r="EU200" s="67"/>
      <c r="EV200" s="67"/>
      <c r="EW200" s="67"/>
      <c r="EX200" s="67"/>
      <c r="EY200" s="67"/>
      <c r="EZ200" s="67"/>
    </row>
    <row r="201" spans="1:156">
      <c r="B201" s="500" t="s">
        <v>97</v>
      </c>
      <c r="C201" s="499">
        <f t="shared" ref="C201:AH201" si="113">IF(C161=1, C$152/C$156, "")</f>
        <v>75000</v>
      </c>
      <c r="D201" s="499" t="str">
        <f t="shared" si="113"/>
        <v/>
      </c>
      <c r="E201" s="499" t="str">
        <f t="shared" si="113"/>
        <v/>
      </c>
      <c r="F201" s="499" t="str">
        <f t="shared" si="113"/>
        <v/>
      </c>
      <c r="G201" s="499" t="str">
        <f t="shared" si="113"/>
        <v/>
      </c>
      <c r="H201" s="499">
        <f t="shared" si="113"/>
        <v>17291.6875</v>
      </c>
      <c r="I201" s="499" t="str">
        <f t="shared" si="113"/>
        <v/>
      </c>
      <c r="J201" s="499" t="str">
        <f t="shared" si="113"/>
        <v/>
      </c>
      <c r="K201" s="499">
        <f t="shared" si="113"/>
        <v>877500</v>
      </c>
      <c r="L201" s="499">
        <f t="shared" si="113"/>
        <v>683000</v>
      </c>
      <c r="M201" s="499" t="str">
        <f t="shared" si="113"/>
        <v/>
      </c>
      <c r="N201" s="499" t="str">
        <f t="shared" si="113"/>
        <v/>
      </c>
      <c r="O201" s="499" t="str">
        <f t="shared" si="113"/>
        <v/>
      </c>
      <c r="P201" s="499" t="str">
        <f t="shared" si="113"/>
        <v/>
      </c>
      <c r="Q201" s="499">
        <f t="shared" si="113"/>
        <v>79856.5</v>
      </c>
      <c r="R201" s="499" t="str">
        <f t="shared" si="113"/>
        <v/>
      </c>
      <c r="S201" s="499" t="str">
        <f t="shared" si="113"/>
        <v/>
      </c>
      <c r="T201" s="499" t="str">
        <f t="shared" si="113"/>
        <v/>
      </c>
      <c r="U201" s="499" t="str">
        <f t="shared" si="113"/>
        <v/>
      </c>
      <c r="V201" s="499">
        <f t="shared" si="113"/>
        <v>4225333.333333333</v>
      </c>
      <c r="W201" s="499" t="str">
        <f t="shared" si="113"/>
        <v/>
      </c>
      <c r="X201" s="499">
        <f t="shared" si="113"/>
        <v>1972167.5</v>
      </c>
      <c r="Y201" s="499" t="str">
        <f t="shared" si="113"/>
        <v/>
      </c>
      <c r="Z201" s="499" t="str">
        <f t="shared" si="113"/>
        <v/>
      </c>
      <c r="AA201" s="499" t="str">
        <f t="shared" si="113"/>
        <v/>
      </c>
      <c r="AB201" s="499" t="str">
        <f t="shared" si="113"/>
        <v/>
      </c>
      <c r="AC201" s="499">
        <f t="shared" si="113"/>
        <v>394200</v>
      </c>
      <c r="AD201" s="499" t="str">
        <f t="shared" si="113"/>
        <v/>
      </c>
      <c r="AE201" s="499">
        <f t="shared" si="113"/>
        <v>1666666.6666666667</v>
      </c>
      <c r="AF201" s="499">
        <f t="shared" si="113"/>
        <v>165000</v>
      </c>
      <c r="AG201" s="499" t="str">
        <f t="shared" si="113"/>
        <v/>
      </c>
      <c r="AH201" s="499">
        <f t="shared" si="113"/>
        <v>0</v>
      </c>
      <c r="AI201" s="499" t="str">
        <f t="shared" ref="AI201:BN201" si="114">IF(AI161=1, AI$152/AI$156, "")</f>
        <v/>
      </c>
      <c r="AJ201" s="499">
        <f t="shared" si="114"/>
        <v>406310.09428571432</v>
      </c>
      <c r="AK201" s="499" t="str">
        <f t="shared" si="114"/>
        <v/>
      </c>
      <c r="AL201" s="499" t="str">
        <f t="shared" si="114"/>
        <v/>
      </c>
      <c r="AM201" s="499" t="str">
        <f t="shared" si="114"/>
        <v/>
      </c>
      <c r="AN201" s="499">
        <f t="shared" si="114"/>
        <v>84958.095714285722</v>
      </c>
      <c r="AO201" s="499" t="str">
        <f t="shared" si="114"/>
        <v/>
      </c>
      <c r="AP201" s="499">
        <f t="shared" si="114"/>
        <v>66666.666666666672</v>
      </c>
      <c r="AQ201" s="499">
        <f t="shared" si="114"/>
        <v>90000</v>
      </c>
      <c r="AR201" s="499" t="str">
        <f t="shared" si="114"/>
        <v/>
      </c>
      <c r="AS201" s="499" t="str">
        <f t="shared" si="114"/>
        <v/>
      </c>
      <c r="AT201" s="499" t="str">
        <f t="shared" si="114"/>
        <v/>
      </c>
      <c r="AU201" s="499">
        <f t="shared" si="114"/>
        <v>3591.75</v>
      </c>
      <c r="AV201" s="499" t="str">
        <f t="shared" si="114"/>
        <v/>
      </c>
      <c r="AW201" s="499" t="str">
        <f t="shared" si="114"/>
        <v/>
      </c>
      <c r="AX201" s="499" t="str">
        <f t="shared" si="114"/>
        <v/>
      </c>
      <c r="AY201" s="499">
        <f t="shared" si="114"/>
        <v>203632.5625</v>
      </c>
      <c r="AZ201" s="499">
        <f t="shared" si="114"/>
        <v>45282.285714285717</v>
      </c>
      <c r="BA201" s="499">
        <f t="shared" si="114"/>
        <v>4107.1428571428569</v>
      </c>
      <c r="BB201" s="499">
        <f t="shared" si="114"/>
        <v>28478.4375</v>
      </c>
      <c r="BC201" s="499" t="str">
        <f t="shared" si="114"/>
        <v/>
      </c>
      <c r="BD201" s="499" t="str">
        <f t="shared" si="114"/>
        <v/>
      </c>
      <c r="BE201" s="499" t="str">
        <f t="shared" si="114"/>
        <v/>
      </c>
      <c r="BF201" s="499" t="str">
        <f t="shared" si="114"/>
        <v/>
      </c>
      <c r="BG201" s="499" t="str">
        <f t="shared" si="114"/>
        <v/>
      </c>
      <c r="BH201" s="499">
        <f t="shared" si="114"/>
        <v>0</v>
      </c>
      <c r="BI201" s="499">
        <f t="shared" si="114"/>
        <v>0</v>
      </c>
      <c r="BJ201" s="499">
        <f t="shared" si="114"/>
        <v>0</v>
      </c>
      <c r="BK201" s="499" t="str">
        <f t="shared" si="114"/>
        <v/>
      </c>
      <c r="BL201" s="499" t="str">
        <f t="shared" si="114"/>
        <v/>
      </c>
      <c r="BM201" s="499">
        <f t="shared" si="114"/>
        <v>300000</v>
      </c>
      <c r="BN201" s="499" t="str">
        <f t="shared" si="114"/>
        <v/>
      </c>
      <c r="BO201" s="499" t="str">
        <f t="shared" ref="BO201:CT201" si="115">IF(BO161=1, BO$152/BO$156, "")</f>
        <v/>
      </c>
      <c r="BP201" s="499">
        <f t="shared" si="115"/>
        <v>187975</v>
      </c>
      <c r="BQ201" s="499" t="str">
        <f t="shared" si="115"/>
        <v/>
      </c>
      <c r="BR201" s="499" t="str">
        <f t="shared" si="115"/>
        <v/>
      </c>
      <c r="BS201" s="499" t="str">
        <f t="shared" si="115"/>
        <v/>
      </c>
      <c r="BT201" s="499">
        <f t="shared" si="115"/>
        <v>0</v>
      </c>
      <c r="BU201" s="499" t="str">
        <f t="shared" si="115"/>
        <v/>
      </c>
      <c r="BV201" s="499" t="str">
        <f t="shared" si="115"/>
        <v/>
      </c>
      <c r="BW201" s="499" t="str">
        <f t="shared" si="115"/>
        <v/>
      </c>
      <c r="BX201" s="499" t="str">
        <f t="shared" si="115"/>
        <v/>
      </c>
      <c r="BY201" s="499" t="str">
        <f t="shared" si="115"/>
        <v/>
      </c>
      <c r="BZ201" s="499">
        <f t="shared" si="115"/>
        <v>0</v>
      </c>
      <c r="CA201" s="499">
        <f t="shared" si="115"/>
        <v>60000</v>
      </c>
      <c r="CB201" s="499">
        <f t="shared" si="115"/>
        <v>15378.809523809525</v>
      </c>
      <c r="CC201" s="499" t="str">
        <f t="shared" si="115"/>
        <v/>
      </c>
      <c r="CD201" s="499" t="str">
        <f t="shared" si="115"/>
        <v/>
      </c>
      <c r="CE201" s="499" t="str">
        <f t="shared" si="115"/>
        <v/>
      </c>
      <c r="CF201" s="499" t="str">
        <f t="shared" si="115"/>
        <v/>
      </c>
      <c r="CG201" s="499" t="str">
        <f t="shared" si="115"/>
        <v/>
      </c>
      <c r="CH201" s="499">
        <f t="shared" si="115"/>
        <v>0</v>
      </c>
      <c r="CI201" s="499" t="str">
        <f t="shared" si="115"/>
        <v/>
      </c>
      <c r="CJ201" s="499" t="str">
        <f t="shared" si="115"/>
        <v/>
      </c>
      <c r="CK201" s="499">
        <f t="shared" si="115"/>
        <v>363969</v>
      </c>
      <c r="CL201" s="499">
        <f t="shared" si="115"/>
        <v>73.2</v>
      </c>
      <c r="CM201" s="499" t="str">
        <f t="shared" si="115"/>
        <v/>
      </c>
      <c r="CN201" s="499" t="str">
        <f t="shared" si="115"/>
        <v/>
      </c>
      <c r="CO201" s="499">
        <f t="shared" si="115"/>
        <v>5000</v>
      </c>
      <c r="CP201" s="499" t="str">
        <f t="shared" si="115"/>
        <v/>
      </c>
      <c r="CQ201" s="499" t="str">
        <f t="shared" si="115"/>
        <v/>
      </c>
      <c r="CR201" s="499">
        <f t="shared" si="115"/>
        <v>1238500</v>
      </c>
      <c r="CS201" s="499">
        <f t="shared" si="115"/>
        <v>59566500</v>
      </c>
      <c r="CT201" s="499" t="str">
        <f t="shared" si="115"/>
        <v/>
      </c>
      <c r="CU201" s="499" t="str">
        <f t="shared" ref="CU201:DZ201" si="116">IF(CU161=1, CU$152/CU$156, "")</f>
        <v/>
      </c>
      <c r="CV201" s="499">
        <f t="shared" si="116"/>
        <v>7821</v>
      </c>
      <c r="CW201" s="499" t="str">
        <f t="shared" si="116"/>
        <v/>
      </c>
      <c r="CX201" s="499">
        <f t="shared" si="116"/>
        <v>48350.104666666666</v>
      </c>
      <c r="CY201" s="499" t="str">
        <f t="shared" si="116"/>
        <v/>
      </c>
      <c r="CZ201" s="499">
        <f t="shared" si="116"/>
        <v>2435.6666666666665</v>
      </c>
      <c r="DA201" s="499">
        <f t="shared" si="116"/>
        <v>73500</v>
      </c>
      <c r="DB201" s="499">
        <f t="shared" si="116"/>
        <v>1991.6666666666667</v>
      </c>
      <c r="DC201" s="499">
        <f t="shared" si="116"/>
        <v>275823.3125</v>
      </c>
      <c r="DD201" s="499">
        <f t="shared" si="116"/>
        <v>2170761.3333333335</v>
      </c>
      <c r="DE201" s="499">
        <f t="shared" si="116"/>
        <v>570383.32615384622</v>
      </c>
      <c r="DF201" s="499" t="str">
        <f t="shared" si="116"/>
        <v/>
      </c>
      <c r="DG201" s="499" t="str">
        <f t="shared" si="116"/>
        <v/>
      </c>
      <c r="DH201" s="499">
        <f t="shared" si="116"/>
        <v>3018.8095714285714</v>
      </c>
      <c r="DI201" s="499" t="str">
        <f t="shared" si="116"/>
        <v/>
      </c>
      <c r="DJ201" s="499" t="str">
        <f t="shared" si="116"/>
        <v/>
      </c>
      <c r="DK201" s="499">
        <f t="shared" si="116"/>
        <v>250</v>
      </c>
      <c r="DL201" s="499" t="str">
        <f t="shared" si="116"/>
        <v/>
      </c>
      <c r="DM201" s="499" t="str">
        <f t="shared" si="116"/>
        <v/>
      </c>
      <c r="DN201" s="499" t="str">
        <f t="shared" si="116"/>
        <v/>
      </c>
      <c r="DO201" s="499">
        <f t="shared" si="116"/>
        <v>5566462.333333333</v>
      </c>
      <c r="DP201" s="499" t="str">
        <f t="shared" si="116"/>
        <v/>
      </c>
      <c r="DQ201" s="499" t="str">
        <f t="shared" si="116"/>
        <v/>
      </c>
      <c r="DR201" s="499">
        <f t="shared" si="116"/>
        <v>132087.5</v>
      </c>
      <c r="DS201" s="499" t="str">
        <f t="shared" si="116"/>
        <v/>
      </c>
      <c r="DT201" s="499" t="str">
        <f t="shared" si="116"/>
        <v/>
      </c>
      <c r="DU201" s="499" t="str">
        <f t="shared" si="116"/>
        <v/>
      </c>
      <c r="DV201" s="499" t="str">
        <f t="shared" si="116"/>
        <v/>
      </c>
      <c r="DW201" s="499" t="str">
        <f t="shared" si="116"/>
        <v/>
      </c>
      <c r="DX201" s="499">
        <f t="shared" si="116"/>
        <v>6545839</v>
      </c>
      <c r="DY201" s="499" t="str">
        <f t="shared" si="116"/>
        <v/>
      </c>
      <c r="DZ201" s="499" t="str">
        <f t="shared" si="116"/>
        <v/>
      </c>
      <c r="EA201" s="499" t="str">
        <f t="shared" ref="EA201:EI201" si="117">IF(EA161=1, EA$152/EA$156, "")</f>
        <v/>
      </c>
      <c r="EB201" s="499">
        <f t="shared" si="117"/>
        <v>0</v>
      </c>
      <c r="EC201" s="499">
        <f t="shared" si="117"/>
        <v>765515</v>
      </c>
      <c r="ED201" s="499" t="str">
        <f t="shared" si="117"/>
        <v/>
      </c>
      <c r="EE201" s="499">
        <f t="shared" si="117"/>
        <v>2612500</v>
      </c>
      <c r="EF201" s="499" t="str">
        <f t="shared" si="117"/>
        <v/>
      </c>
      <c r="EG201" s="499" t="str">
        <f t="shared" si="117"/>
        <v/>
      </c>
      <c r="EH201" s="499" t="str">
        <f t="shared" si="117"/>
        <v/>
      </c>
      <c r="EI201" s="499" t="str">
        <f t="shared" si="117"/>
        <v/>
      </c>
      <c r="EJ201" s="499">
        <f t="shared" si="107"/>
        <v>91603177.785153836</v>
      </c>
      <c r="EK201" s="67"/>
      <c r="EL201" s="67"/>
      <c r="EM201" s="67"/>
      <c r="EN201" s="67"/>
      <c r="EO201" s="67"/>
      <c r="EP201" s="67"/>
      <c r="EQ201" s="67"/>
      <c r="ER201" s="67"/>
      <c r="ES201" s="67"/>
      <c r="ET201" s="67"/>
      <c r="EU201" s="67"/>
      <c r="EV201" s="67"/>
      <c r="EW201" s="67"/>
      <c r="EX201" s="67"/>
      <c r="EY201" s="67"/>
      <c r="EZ201" s="67"/>
    </row>
    <row r="202" spans="1:156">
      <c r="B202" s="500" t="s">
        <v>112</v>
      </c>
      <c r="C202" s="499" t="str">
        <f t="shared" ref="C202:AH202" si="118">IF(C162=1, C$152/C$156, "")</f>
        <v/>
      </c>
      <c r="D202" s="499" t="str">
        <f t="shared" si="118"/>
        <v/>
      </c>
      <c r="E202" s="499" t="str">
        <f t="shared" si="118"/>
        <v/>
      </c>
      <c r="F202" s="499" t="str">
        <f t="shared" si="118"/>
        <v/>
      </c>
      <c r="G202" s="499" t="str">
        <f t="shared" si="118"/>
        <v/>
      </c>
      <c r="H202" s="499">
        <f t="shared" si="118"/>
        <v>17291.6875</v>
      </c>
      <c r="I202" s="499" t="str">
        <f t="shared" si="118"/>
        <v/>
      </c>
      <c r="J202" s="499" t="str">
        <f t="shared" si="118"/>
        <v/>
      </c>
      <c r="K202" s="499" t="str">
        <f t="shared" si="118"/>
        <v/>
      </c>
      <c r="L202" s="499" t="str">
        <f t="shared" si="118"/>
        <v/>
      </c>
      <c r="M202" s="499" t="str">
        <f t="shared" si="118"/>
        <v/>
      </c>
      <c r="N202" s="499" t="str">
        <f t="shared" si="118"/>
        <v/>
      </c>
      <c r="O202" s="499">
        <f t="shared" si="118"/>
        <v>0</v>
      </c>
      <c r="P202" s="499" t="str">
        <f t="shared" si="118"/>
        <v/>
      </c>
      <c r="Q202" s="499">
        <f t="shared" si="118"/>
        <v>79856.5</v>
      </c>
      <c r="R202" s="499" t="str">
        <f t="shared" si="118"/>
        <v/>
      </c>
      <c r="S202" s="499" t="str">
        <f t="shared" si="118"/>
        <v/>
      </c>
      <c r="T202" s="499" t="str">
        <f t="shared" si="118"/>
        <v/>
      </c>
      <c r="U202" s="499" t="str">
        <f t="shared" si="118"/>
        <v/>
      </c>
      <c r="V202" s="499">
        <f t="shared" si="118"/>
        <v>4225333.333333333</v>
      </c>
      <c r="W202" s="499" t="str">
        <f t="shared" si="118"/>
        <v/>
      </c>
      <c r="X202" s="499">
        <f t="shared" si="118"/>
        <v>1972167.5</v>
      </c>
      <c r="Y202" s="499" t="str">
        <f t="shared" si="118"/>
        <v/>
      </c>
      <c r="Z202" s="499" t="str">
        <f t="shared" si="118"/>
        <v/>
      </c>
      <c r="AA202" s="499" t="str">
        <f t="shared" si="118"/>
        <v/>
      </c>
      <c r="AB202" s="499">
        <f t="shared" si="118"/>
        <v>889187.5</v>
      </c>
      <c r="AC202" s="499" t="str">
        <f t="shared" si="118"/>
        <v/>
      </c>
      <c r="AD202" s="499" t="str">
        <f t="shared" si="118"/>
        <v/>
      </c>
      <c r="AE202" s="499">
        <f t="shared" si="118"/>
        <v>1666666.6666666667</v>
      </c>
      <c r="AF202" s="499">
        <f t="shared" si="118"/>
        <v>165000</v>
      </c>
      <c r="AG202" s="499" t="str">
        <f t="shared" si="118"/>
        <v/>
      </c>
      <c r="AH202" s="499">
        <f t="shared" si="118"/>
        <v>0</v>
      </c>
      <c r="AI202" s="499" t="str">
        <f t="shared" ref="AI202:BN202" si="119">IF(AI162=1, AI$152/AI$156, "")</f>
        <v/>
      </c>
      <c r="AJ202" s="499">
        <f t="shared" si="119"/>
        <v>406310.09428571432</v>
      </c>
      <c r="AK202" s="499" t="str">
        <f t="shared" si="119"/>
        <v/>
      </c>
      <c r="AL202" s="499" t="str">
        <f t="shared" si="119"/>
        <v/>
      </c>
      <c r="AM202" s="499" t="str">
        <f t="shared" si="119"/>
        <v/>
      </c>
      <c r="AN202" s="499">
        <f t="shared" si="119"/>
        <v>84958.095714285722</v>
      </c>
      <c r="AO202" s="499" t="str">
        <f t="shared" si="119"/>
        <v/>
      </c>
      <c r="AP202" s="499" t="str">
        <f t="shared" si="119"/>
        <v/>
      </c>
      <c r="AQ202" s="499" t="str">
        <f t="shared" si="119"/>
        <v/>
      </c>
      <c r="AR202" s="499" t="str">
        <f t="shared" si="119"/>
        <v/>
      </c>
      <c r="AS202" s="499">
        <f t="shared" si="119"/>
        <v>459.625</v>
      </c>
      <c r="AT202" s="499">
        <f t="shared" si="119"/>
        <v>3115</v>
      </c>
      <c r="AU202" s="499" t="str">
        <f t="shared" si="119"/>
        <v/>
      </c>
      <c r="AV202" s="499" t="str">
        <f t="shared" si="119"/>
        <v/>
      </c>
      <c r="AW202" s="499" t="str">
        <f t="shared" si="119"/>
        <v/>
      </c>
      <c r="AX202" s="499" t="str">
        <f t="shared" si="119"/>
        <v/>
      </c>
      <c r="AY202" s="499">
        <f t="shared" si="119"/>
        <v>203632.5625</v>
      </c>
      <c r="AZ202" s="499" t="str">
        <f t="shared" si="119"/>
        <v/>
      </c>
      <c r="BA202" s="499">
        <f t="shared" si="119"/>
        <v>4107.1428571428569</v>
      </c>
      <c r="BB202" s="499">
        <f t="shared" si="119"/>
        <v>28478.4375</v>
      </c>
      <c r="BC202" s="499">
        <f t="shared" si="119"/>
        <v>316637.30769230769</v>
      </c>
      <c r="BD202" s="499" t="str">
        <f t="shared" si="119"/>
        <v/>
      </c>
      <c r="BE202" s="499" t="str">
        <f t="shared" si="119"/>
        <v/>
      </c>
      <c r="BF202" s="499" t="str">
        <f t="shared" si="119"/>
        <v/>
      </c>
      <c r="BG202" s="499">
        <f t="shared" si="119"/>
        <v>504875</v>
      </c>
      <c r="BH202" s="499">
        <f t="shared" si="119"/>
        <v>0</v>
      </c>
      <c r="BI202" s="499">
        <f t="shared" si="119"/>
        <v>0</v>
      </c>
      <c r="BJ202" s="499">
        <f t="shared" si="119"/>
        <v>0</v>
      </c>
      <c r="BK202" s="499" t="str">
        <f t="shared" si="119"/>
        <v/>
      </c>
      <c r="BL202" s="499" t="str">
        <f t="shared" si="119"/>
        <v/>
      </c>
      <c r="BM202" s="499" t="str">
        <f t="shared" si="119"/>
        <v/>
      </c>
      <c r="BN202" s="499" t="str">
        <f t="shared" si="119"/>
        <v/>
      </c>
      <c r="BO202" s="499" t="str">
        <f t="shared" ref="BO202:CT202" si="120">IF(BO162=1, BO$152/BO$156, "")</f>
        <v/>
      </c>
      <c r="BP202" s="499">
        <f t="shared" si="120"/>
        <v>187975</v>
      </c>
      <c r="BQ202" s="499">
        <f t="shared" si="120"/>
        <v>19367905</v>
      </c>
      <c r="BR202" s="499" t="str">
        <f t="shared" si="120"/>
        <v/>
      </c>
      <c r="BS202" s="499">
        <f t="shared" si="120"/>
        <v>4469330</v>
      </c>
      <c r="BT202" s="499">
        <f t="shared" si="120"/>
        <v>0</v>
      </c>
      <c r="BU202" s="499" t="str">
        <f t="shared" si="120"/>
        <v/>
      </c>
      <c r="BV202" s="499" t="str">
        <f t="shared" si="120"/>
        <v/>
      </c>
      <c r="BW202" s="499" t="str">
        <f t="shared" si="120"/>
        <v/>
      </c>
      <c r="BX202" s="499" t="str">
        <f t="shared" si="120"/>
        <v/>
      </c>
      <c r="BY202" s="499" t="str">
        <f t="shared" si="120"/>
        <v/>
      </c>
      <c r="BZ202" s="499">
        <f t="shared" si="120"/>
        <v>0</v>
      </c>
      <c r="CA202" s="499" t="str">
        <f t="shared" si="120"/>
        <v/>
      </c>
      <c r="CB202" s="499">
        <f t="shared" si="120"/>
        <v>15378.809523809525</v>
      </c>
      <c r="CC202" s="499" t="str">
        <f t="shared" si="120"/>
        <v/>
      </c>
      <c r="CD202" s="499" t="str">
        <f t="shared" si="120"/>
        <v/>
      </c>
      <c r="CE202" s="499" t="str">
        <f t="shared" si="120"/>
        <v/>
      </c>
      <c r="CF202" s="499" t="str">
        <f t="shared" si="120"/>
        <v/>
      </c>
      <c r="CG202" s="499" t="str">
        <f t="shared" si="120"/>
        <v/>
      </c>
      <c r="CH202" s="499" t="str">
        <f t="shared" si="120"/>
        <v/>
      </c>
      <c r="CI202" s="499" t="str">
        <f t="shared" si="120"/>
        <v/>
      </c>
      <c r="CJ202" s="499" t="str">
        <f t="shared" si="120"/>
        <v/>
      </c>
      <c r="CK202" s="499">
        <f t="shared" si="120"/>
        <v>363969</v>
      </c>
      <c r="CL202" s="499">
        <f t="shared" si="120"/>
        <v>73.2</v>
      </c>
      <c r="CM202" s="499">
        <f t="shared" si="120"/>
        <v>923962</v>
      </c>
      <c r="CN202" s="499" t="str">
        <f t="shared" si="120"/>
        <v/>
      </c>
      <c r="CO202" s="499">
        <f t="shared" si="120"/>
        <v>5000</v>
      </c>
      <c r="CP202" s="499">
        <f t="shared" si="120"/>
        <v>684050</v>
      </c>
      <c r="CQ202" s="499">
        <f t="shared" si="120"/>
        <v>1675000</v>
      </c>
      <c r="CR202" s="499" t="str">
        <f t="shared" si="120"/>
        <v/>
      </c>
      <c r="CS202" s="499">
        <f t="shared" si="120"/>
        <v>59566500</v>
      </c>
      <c r="CT202" s="499" t="str">
        <f t="shared" si="120"/>
        <v/>
      </c>
      <c r="CU202" s="499" t="str">
        <f t="shared" ref="CU202:DZ202" si="121">IF(CU162=1, CU$152/CU$156, "")</f>
        <v/>
      </c>
      <c r="CV202" s="499" t="str">
        <f t="shared" si="121"/>
        <v/>
      </c>
      <c r="CW202" s="499">
        <f t="shared" si="121"/>
        <v>580269.25</v>
      </c>
      <c r="CX202" s="499" t="str">
        <f t="shared" si="121"/>
        <v/>
      </c>
      <c r="CY202" s="499" t="str">
        <f t="shared" si="121"/>
        <v/>
      </c>
      <c r="CZ202" s="499" t="str">
        <f t="shared" si="121"/>
        <v/>
      </c>
      <c r="DA202" s="499">
        <f t="shared" si="121"/>
        <v>73500</v>
      </c>
      <c r="DB202" s="499" t="str">
        <f t="shared" si="121"/>
        <v/>
      </c>
      <c r="DC202" s="499">
        <f t="shared" si="121"/>
        <v>275823.3125</v>
      </c>
      <c r="DD202" s="499">
        <f t="shared" si="121"/>
        <v>2170761.3333333335</v>
      </c>
      <c r="DE202" s="499" t="str">
        <f t="shared" si="121"/>
        <v/>
      </c>
      <c r="DF202" s="499" t="str">
        <f t="shared" si="121"/>
        <v/>
      </c>
      <c r="DG202" s="499" t="str">
        <f t="shared" si="121"/>
        <v/>
      </c>
      <c r="DH202" s="499">
        <f t="shared" si="121"/>
        <v>3018.8095714285714</v>
      </c>
      <c r="DI202" s="499" t="str">
        <f t="shared" si="121"/>
        <v/>
      </c>
      <c r="DJ202" s="499" t="str">
        <f t="shared" si="121"/>
        <v/>
      </c>
      <c r="DK202" s="499">
        <f t="shared" si="121"/>
        <v>250</v>
      </c>
      <c r="DL202" s="499">
        <f t="shared" si="121"/>
        <v>358500</v>
      </c>
      <c r="DM202" s="499" t="str">
        <f t="shared" si="121"/>
        <v/>
      </c>
      <c r="DN202" s="499" t="str">
        <f t="shared" si="121"/>
        <v/>
      </c>
      <c r="DO202" s="499">
        <f t="shared" si="121"/>
        <v>5566462.333333333</v>
      </c>
      <c r="DP202" s="499" t="str">
        <f t="shared" si="121"/>
        <v/>
      </c>
      <c r="DQ202" s="499" t="str">
        <f t="shared" si="121"/>
        <v/>
      </c>
      <c r="DR202" s="499" t="str">
        <f t="shared" si="121"/>
        <v/>
      </c>
      <c r="DS202" s="499" t="str">
        <f t="shared" si="121"/>
        <v/>
      </c>
      <c r="DT202" s="499" t="str">
        <f t="shared" si="121"/>
        <v/>
      </c>
      <c r="DU202" s="499">
        <f t="shared" si="121"/>
        <v>1520233.3333333333</v>
      </c>
      <c r="DV202" s="499">
        <f t="shared" si="121"/>
        <v>387000</v>
      </c>
      <c r="DW202" s="499" t="str">
        <f t="shared" si="121"/>
        <v/>
      </c>
      <c r="DX202" s="499" t="str">
        <f t="shared" si="121"/>
        <v/>
      </c>
      <c r="DY202" s="499" t="str">
        <f t="shared" si="121"/>
        <v/>
      </c>
      <c r="DZ202" s="499" t="str">
        <f t="shared" si="121"/>
        <v/>
      </c>
      <c r="EA202" s="499">
        <f t="shared" ref="EA202:EI202" si="122">IF(EA162=1, EA$152/EA$156, "")</f>
        <v>100000</v>
      </c>
      <c r="EB202" s="499" t="str">
        <f t="shared" si="122"/>
        <v/>
      </c>
      <c r="EC202" s="499" t="str">
        <f t="shared" si="122"/>
        <v/>
      </c>
      <c r="ED202" s="499">
        <f t="shared" si="122"/>
        <v>750</v>
      </c>
      <c r="EE202" s="499">
        <f t="shared" si="122"/>
        <v>2612500</v>
      </c>
      <c r="EF202" s="499" t="str">
        <f t="shared" si="122"/>
        <v/>
      </c>
      <c r="EG202" s="499">
        <f t="shared" si="122"/>
        <v>77450</v>
      </c>
      <c r="EH202" s="499">
        <f t="shared" si="122"/>
        <v>186292.5</v>
      </c>
      <c r="EI202" s="499">
        <f t="shared" si="122"/>
        <v>44272.727272727272</v>
      </c>
      <c r="EJ202" s="499">
        <f t="shared" si="107"/>
        <v>111784303.06191741</v>
      </c>
      <c r="EK202" s="67"/>
      <c r="EL202" s="67"/>
      <c r="EM202" s="67"/>
      <c r="EN202" s="67"/>
      <c r="EO202" s="67"/>
      <c r="EP202" s="67"/>
      <c r="EQ202" s="67"/>
      <c r="ER202" s="67"/>
      <c r="ES202" s="67"/>
      <c r="ET202" s="67"/>
      <c r="EU202" s="67"/>
      <c r="EV202" s="67"/>
      <c r="EW202" s="67"/>
      <c r="EX202" s="67"/>
      <c r="EY202" s="67"/>
      <c r="EZ202" s="67"/>
    </row>
    <row r="203" spans="1:156">
      <c r="B203" s="500" t="s">
        <v>93</v>
      </c>
      <c r="C203" s="499" t="str">
        <f t="shared" ref="C203:AH203" si="123">IF(C163=1, C$152/C$156, "")</f>
        <v/>
      </c>
      <c r="D203" s="499" t="str">
        <f t="shared" si="123"/>
        <v/>
      </c>
      <c r="E203" s="499" t="str">
        <f t="shared" si="123"/>
        <v/>
      </c>
      <c r="F203" s="499" t="str">
        <f t="shared" si="123"/>
        <v/>
      </c>
      <c r="G203" s="499">
        <f t="shared" si="123"/>
        <v>545468.5</v>
      </c>
      <c r="H203" s="499">
        <f t="shared" si="123"/>
        <v>17291.6875</v>
      </c>
      <c r="I203" s="499" t="str">
        <f t="shared" si="123"/>
        <v/>
      </c>
      <c r="J203" s="499" t="str">
        <f t="shared" si="123"/>
        <v/>
      </c>
      <c r="K203" s="499" t="str">
        <f t="shared" si="123"/>
        <v/>
      </c>
      <c r="L203" s="499" t="str">
        <f t="shared" si="123"/>
        <v/>
      </c>
      <c r="M203" s="499" t="str">
        <f t="shared" si="123"/>
        <v/>
      </c>
      <c r="N203" s="499" t="str">
        <f t="shared" si="123"/>
        <v/>
      </c>
      <c r="O203" s="499" t="str">
        <f t="shared" si="123"/>
        <v/>
      </c>
      <c r="P203" s="499" t="str">
        <f t="shared" si="123"/>
        <v/>
      </c>
      <c r="Q203" s="499" t="str">
        <f t="shared" si="123"/>
        <v/>
      </c>
      <c r="R203" s="499" t="str">
        <f t="shared" si="123"/>
        <v/>
      </c>
      <c r="S203" s="499" t="str">
        <f t="shared" si="123"/>
        <v/>
      </c>
      <c r="T203" s="499" t="str">
        <f t="shared" si="123"/>
        <v/>
      </c>
      <c r="U203" s="499" t="str">
        <f t="shared" si="123"/>
        <v/>
      </c>
      <c r="V203" s="499" t="str">
        <f t="shared" si="123"/>
        <v/>
      </c>
      <c r="W203" s="499" t="str">
        <f t="shared" si="123"/>
        <v/>
      </c>
      <c r="X203" s="499">
        <f t="shared" si="123"/>
        <v>1972167.5</v>
      </c>
      <c r="Y203" s="499" t="str">
        <f t="shared" si="123"/>
        <v/>
      </c>
      <c r="Z203" s="499" t="str">
        <f t="shared" si="123"/>
        <v/>
      </c>
      <c r="AA203" s="499" t="str">
        <f t="shared" si="123"/>
        <v/>
      </c>
      <c r="AB203" s="499" t="str">
        <f t="shared" si="123"/>
        <v/>
      </c>
      <c r="AC203" s="499" t="str">
        <f t="shared" si="123"/>
        <v/>
      </c>
      <c r="AD203" s="499" t="str">
        <f t="shared" si="123"/>
        <v/>
      </c>
      <c r="AE203" s="499" t="str">
        <f t="shared" si="123"/>
        <v/>
      </c>
      <c r="AF203" s="499">
        <f t="shared" si="123"/>
        <v>165000</v>
      </c>
      <c r="AG203" s="499" t="str">
        <f t="shared" si="123"/>
        <v/>
      </c>
      <c r="AH203" s="499" t="str">
        <f t="shared" si="123"/>
        <v/>
      </c>
      <c r="AI203" s="499" t="str">
        <f t="shared" ref="AI203:BN203" si="124">IF(AI163=1, AI$152/AI$156, "")</f>
        <v/>
      </c>
      <c r="AJ203" s="499">
        <f t="shared" si="124"/>
        <v>406310.09428571432</v>
      </c>
      <c r="AK203" s="499" t="str">
        <f t="shared" si="124"/>
        <v/>
      </c>
      <c r="AL203" s="499" t="str">
        <f t="shared" si="124"/>
        <v/>
      </c>
      <c r="AM203" s="499" t="str">
        <f t="shared" si="124"/>
        <v/>
      </c>
      <c r="AN203" s="499">
        <f t="shared" si="124"/>
        <v>84958.095714285722</v>
      </c>
      <c r="AO203" s="499" t="str">
        <f t="shared" si="124"/>
        <v/>
      </c>
      <c r="AP203" s="499" t="str">
        <f t="shared" si="124"/>
        <v/>
      </c>
      <c r="AQ203" s="499" t="str">
        <f t="shared" si="124"/>
        <v/>
      </c>
      <c r="AR203" s="499" t="str">
        <f t="shared" si="124"/>
        <v/>
      </c>
      <c r="AS203" s="499">
        <f t="shared" si="124"/>
        <v>459.625</v>
      </c>
      <c r="AT203" s="499">
        <f t="shared" si="124"/>
        <v>3115</v>
      </c>
      <c r="AU203" s="499" t="str">
        <f t="shared" si="124"/>
        <v/>
      </c>
      <c r="AV203" s="499" t="str">
        <f t="shared" si="124"/>
        <v/>
      </c>
      <c r="AW203" s="499" t="str">
        <f t="shared" si="124"/>
        <v/>
      </c>
      <c r="AX203" s="499">
        <f t="shared" si="124"/>
        <v>0</v>
      </c>
      <c r="AY203" s="499">
        <f t="shared" si="124"/>
        <v>203632.5625</v>
      </c>
      <c r="AZ203" s="499">
        <f t="shared" si="124"/>
        <v>45282.285714285717</v>
      </c>
      <c r="BA203" s="499" t="str">
        <f t="shared" si="124"/>
        <v/>
      </c>
      <c r="BB203" s="499">
        <f t="shared" si="124"/>
        <v>28478.4375</v>
      </c>
      <c r="BC203" s="499">
        <f t="shared" si="124"/>
        <v>316637.30769230769</v>
      </c>
      <c r="BD203" s="499" t="str">
        <f t="shared" si="124"/>
        <v/>
      </c>
      <c r="BE203" s="499" t="str">
        <f t="shared" si="124"/>
        <v/>
      </c>
      <c r="BF203" s="499" t="str">
        <f t="shared" si="124"/>
        <v/>
      </c>
      <c r="BG203" s="499">
        <f t="shared" si="124"/>
        <v>504875</v>
      </c>
      <c r="BH203" s="499" t="str">
        <f t="shared" si="124"/>
        <v/>
      </c>
      <c r="BI203" s="499" t="str">
        <f t="shared" si="124"/>
        <v/>
      </c>
      <c r="BJ203" s="499" t="str">
        <f t="shared" si="124"/>
        <v/>
      </c>
      <c r="BK203" s="499" t="str">
        <f t="shared" si="124"/>
        <v/>
      </c>
      <c r="BL203" s="499" t="str">
        <f t="shared" si="124"/>
        <v/>
      </c>
      <c r="BM203" s="499" t="str">
        <f t="shared" si="124"/>
        <v/>
      </c>
      <c r="BN203" s="499" t="str">
        <f t="shared" si="124"/>
        <v/>
      </c>
      <c r="BO203" s="499" t="str">
        <f t="shared" ref="BO203:CT203" si="125">IF(BO163=1, BO$152/BO$156, "")</f>
        <v/>
      </c>
      <c r="BP203" s="499">
        <f t="shared" si="125"/>
        <v>187975</v>
      </c>
      <c r="BQ203" s="499" t="str">
        <f t="shared" si="125"/>
        <v/>
      </c>
      <c r="BR203" s="499" t="str">
        <f t="shared" si="125"/>
        <v/>
      </c>
      <c r="BS203" s="499" t="str">
        <f t="shared" si="125"/>
        <v/>
      </c>
      <c r="BT203" s="499">
        <f t="shared" si="125"/>
        <v>0</v>
      </c>
      <c r="BU203" s="499" t="str">
        <f t="shared" si="125"/>
        <v/>
      </c>
      <c r="BV203" s="499" t="str">
        <f t="shared" si="125"/>
        <v/>
      </c>
      <c r="BW203" s="499" t="str">
        <f t="shared" si="125"/>
        <v/>
      </c>
      <c r="BX203" s="499" t="str">
        <f t="shared" si="125"/>
        <v/>
      </c>
      <c r="BY203" s="499" t="str">
        <f t="shared" si="125"/>
        <v/>
      </c>
      <c r="BZ203" s="499">
        <f t="shared" si="125"/>
        <v>0</v>
      </c>
      <c r="CA203" s="499" t="str">
        <f t="shared" si="125"/>
        <v/>
      </c>
      <c r="CB203" s="499">
        <f t="shared" si="125"/>
        <v>15378.809523809525</v>
      </c>
      <c r="CC203" s="499" t="str">
        <f t="shared" si="125"/>
        <v/>
      </c>
      <c r="CD203" s="499" t="str">
        <f t="shared" si="125"/>
        <v/>
      </c>
      <c r="CE203" s="499" t="str">
        <f t="shared" si="125"/>
        <v/>
      </c>
      <c r="CF203" s="499" t="str">
        <f t="shared" si="125"/>
        <v/>
      </c>
      <c r="CG203" s="499" t="str">
        <f t="shared" si="125"/>
        <v/>
      </c>
      <c r="CH203" s="499" t="str">
        <f t="shared" si="125"/>
        <v/>
      </c>
      <c r="CI203" s="499" t="str">
        <f t="shared" si="125"/>
        <v/>
      </c>
      <c r="CJ203" s="499" t="str">
        <f t="shared" si="125"/>
        <v/>
      </c>
      <c r="CK203" s="499">
        <f t="shared" si="125"/>
        <v>363969</v>
      </c>
      <c r="CL203" s="499">
        <f t="shared" si="125"/>
        <v>73.2</v>
      </c>
      <c r="CM203" s="499" t="str">
        <f t="shared" si="125"/>
        <v/>
      </c>
      <c r="CN203" s="499" t="str">
        <f t="shared" si="125"/>
        <v/>
      </c>
      <c r="CO203" s="499">
        <f t="shared" si="125"/>
        <v>5000</v>
      </c>
      <c r="CP203" s="499" t="str">
        <f t="shared" si="125"/>
        <v/>
      </c>
      <c r="CQ203" s="499" t="str">
        <f t="shared" si="125"/>
        <v/>
      </c>
      <c r="CR203" s="499" t="str">
        <f t="shared" si="125"/>
        <v/>
      </c>
      <c r="CS203" s="499" t="str">
        <f t="shared" si="125"/>
        <v/>
      </c>
      <c r="CT203" s="499" t="str">
        <f t="shared" si="125"/>
        <v/>
      </c>
      <c r="CU203" s="499" t="str">
        <f t="shared" ref="CU203:DZ203" si="126">IF(CU163=1, CU$152/CU$156, "")</f>
        <v/>
      </c>
      <c r="CV203" s="499">
        <f t="shared" si="126"/>
        <v>7821</v>
      </c>
      <c r="CW203" s="499">
        <f t="shared" si="126"/>
        <v>580269.25</v>
      </c>
      <c r="CX203" s="499" t="str">
        <f t="shared" si="126"/>
        <v/>
      </c>
      <c r="CY203" s="499" t="str">
        <f t="shared" si="126"/>
        <v/>
      </c>
      <c r="CZ203" s="499" t="str">
        <f t="shared" si="126"/>
        <v/>
      </c>
      <c r="DA203" s="499" t="str">
        <f t="shared" si="126"/>
        <v/>
      </c>
      <c r="DB203" s="499">
        <f t="shared" si="126"/>
        <v>1991.6666666666667</v>
      </c>
      <c r="DC203" s="499">
        <f t="shared" si="126"/>
        <v>275823.3125</v>
      </c>
      <c r="DD203" s="499" t="str">
        <f t="shared" si="126"/>
        <v/>
      </c>
      <c r="DE203" s="499">
        <f t="shared" si="126"/>
        <v>570383.32615384622</v>
      </c>
      <c r="DF203" s="499" t="str">
        <f t="shared" si="126"/>
        <v/>
      </c>
      <c r="DG203" s="499">
        <f t="shared" si="126"/>
        <v>746651.66666666663</v>
      </c>
      <c r="DH203" s="499">
        <f t="shared" si="126"/>
        <v>3018.8095714285714</v>
      </c>
      <c r="DI203" s="499" t="str">
        <f t="shared" si="126"/>
        <v/>
      </c>
      <c r="DJ203" s="499" t="str">
        <f t="shared" si="126"/>
        <v/>
      </c>
      <c r="DK203" s="499">
        <f t="shared" si="126"/>
        <v>250</v>
      </c>
      <c r="DL203" s="499" t="str">
        <f t="shared" si="126"/>
        <v/>
      </c>
      <c r="DM203" s="499" t="str">
        <f t="shared" si="126"/>
        <v/>
      </c>
      <c r="DN203" s="499">
        <f t="shared" si="126"/>
        <v>3350</v>
      </c>
      <c r="DO203" s="499" t="str">
        <f t="shared" si="126"/>
        <v/>
      </c>
      <c r="DP203" s="499" t="str">
        <f t="shared" si="126"/>
        <v/>
      </c>
      <c r="DQ203" s="499" t="str">
        <f t="shared" si="126"/>
        <v/>
      </c>
      <c r="DR203" s="499" t="str">
        <f t="shared" si="126"/>
        <v/>
      </c>
      <c r="DS203" s="499" t="str">
        <f t="shared" si="126"/>
        <v/>
      </c>
      <c r="DT203" s="499" t="str">
        <f t="shared" si="126"/>
        <v/>
      </c>
      <c r="DU203" s="499" t="str">
        <f t="shared" si="126"/>
        <v/>
      </c>
      <c r="DV203" s="499" t="str">
        <f t="shared" si="126"/>
        <v/>
      </c>
      <c r="DW203" s="499" t="str">
        <f t="shared" si="126"/>
        <v/>
      </c>
      <c r="DX203" s="499" t="str">
        <f t="shared" si="126"/>
        <v/>
      </c>
      <c r="DY203" s="499" t="str">
        <f t="shared" si="126"/>
        <v/>
      </c>
      <c r="DZ203" s="499" t="str">
        <f t="shared" si="126"/>
        <v/>
      </c>
      <c r="EA203" s="499" t="str">
        <f t="shared" ref="EA203:EI203" si="127">IF(EA163=1, EA$152/EA$156, "")</f>
        <v/>
      </c>
      <c r="EB203" s="499" t="str">
        <f t="shared" si="127"/>
        <v/>
      </c>
      <c r="EC203" s="499" t="str">
        <f t="shared" si="127"/>
        <v/>
      </c>
      <c r="ED203" s="499">
        <f t="shared" si="127"/>
        <v>750</v>
      </c>
      <c r="EE203" s="499">
        <f t="shared" si="127"/>
        <v>2612500</v>
      </c>
      <c r="EF203" s="499">
        <f t="shared" si="127"/>
        <v>740478.33333333337</v>
      </c>
      <c r="EG203" s="499" t="str">
        <f t="shared" si="127"/>
        <v/>
      </c>
      <c r="EH203" s="499" t="str">
        <f t="shared" si="127"/>
        <v/>
      </c>
      <c r="EI203" s="499">
        <f t="shared" si="127"/>
        <v>44272.727272727272</v>
      </c>
      <c r="EJ203" s="499">
        <f t="shared" si="107"/>
        <v>10453632.197595073</v>
      </c>
      <c r="EK203" s="67"/>
      <c r="EL203" s="67"/>
      <c r="EM203" s="67"/>
      <c r="EN203" s="67"/>
      <c r="EO203" s="67"/>
      <c r="EP203" s="67"/>
      <c r="EQ203" s="67"/>
      <c r="ER203" s="67"/>
      <c r="ES203" s="67"/>
      <c r="ET203" s="67"/>
      <c r="EU203" s="67"/>
      <c r="EV203" s="67"/>
      <c r="EW203" s="67"/>
      <c r="EX203" s="67"/>
      <c r="EY203" s="67"/>
      <c r="EZ203" s="67"/>
    </row>
    <row r="204" spans="1:156">
      <c r="B204" s="500" t="s">
        <v>95</v>
      </c>
      <c r="C204" s="499" t="str">
        <f t="shared" ref="C204:AH204" si="128">IF(C164=1, C$152/C$156, "")</f>
        <v/>
      </c>
      <c r="D204" s="499" t="str">
        <f t="shared" si="128"/>
        <v/>
      </c>
      <c r="E204" s="499" t="str">
        <f t="shared" si="128"/>
        <v/>
      </c>
      <c r="F204" s="499" t="str">
        <f t="shared" si="128"/>
        <v/>
      </c>
      <c r="G204" s="499">
        <f t="shared" si="128"/>
        <v>545468.5</v>
      </c>
      <c r="H204" s="499">
        <f t="shared" si="128"/>
        <v>17291.6875</v>
      </c>
      <c r="I204" s="499" t="str">
        <f t="shared" si="128"/>
        <v/>
      </c>
      <c r="J204" s="499" t="str">
        <f t="shared" si="128"/>
        <v/>
      </c>
      <c r="K204" s="499" t="str">
        <f t="shared" si="128"/>
        <v/>
      </c>
      <c r="L204" s="499" t="str">
        <f t="shared" si="128"/>
        <v/>
      </c>
      <c r="M204" s="499" t="str">
        <f t="shared" si="128"/>
        <v/>
      </c>
      <c r="N204" s="499">
        <f t="shared" si="128"/>
        <v>0</v>
      </c>
      <c r="O204" s="499" t="str">
        <f t="shared" si="128"/>
        <v/>
      </c>
      <c r="P204" s="499" t="str">
        <f t="shared" si="128"/>
        <v/>
      </c>
      <c r="Q204" s="499" t="str">
        <f t="shared" si="128"/>
        <v/>
      </c>
      <c r="R204" s="499" t="str">
        <f t="shared" si="128"/>
        <v/>
      </c>
      <c r="S204" s="499" t="str">
        <f t="shared" si="128"/>
        <v/>
      </c>
      <c r="T204" s="499" t="str">
        <f t="shared" si="128"/>
        <v/>
      </c>
      <c r="U204" s="499" t="str">
        <f t="shared" si="128"/>
        <v/>
      </c>
      <c r="V204" s="499" t="str">
        <f t="shared" si="128"/>
        <v/>
      </c>
      <c r="W204" s="499">
        <f t="shared" si="128"/>
        <v>10000</v>
      </c>
      <c r="X204" s="499">
        <f t="shared" si="128"/>
        <v>1972167.5</v>
      </c>
      <c r="Y204" s="499" t="str">
        <f t="shared" si="128"/>
        <v/>
      </c>
      <c r="Z204" s="499" t="str">
        <f t="shared" si="128"/>
        <v/>
      </c>
      <c r="AA204" s="499" t="str">
        <f t="shared" si="128"/>
        <v/>
      </c>
      <c r="AB204" s="499" t="str">
        <f t="shared" si="128"/>
        <v/>
      </c>
      <c r="AC204" s="499" t="str">
        <f t="shared" si="128"/>
        <v/>
      </c>
      <c r="AD204" s="499" t="str">
        <f t="shared" si="128"/>
        <v/>
      </c>
      <c r="AE204" s="499" t="str">
        <f t="shared" si="128"/>
        <v/>
      </c>
      <c r="AF204" s="499" t="str">
        <f t="shared" si="128"/>
        <v/>
      </c>
      <c r="AG204" s="499" t="str">
        <f t="shared" si="128"/>
        <v/>
      </c>
      <c r="AH204" s="499">
        <f t="shared" si="128"/>
        <v>0</v>
      </c>
      <c r="AI204" s="499" t="str">
        <f t="shared" ref="AI204:BN204" si="129">IF(AI164=1, AI$152/AI$156, "")</f>
        <v/>
      </c>
      <c r="AJ204" s="499">
        <f t="shared" si="129"/>
        <v>406310.09428571432</v>
      </c>
      <c r="AK204" s="499" t="str">
        <f t="shared" si="129"/>
        <v/>
      </c>
      <c r="AL204" s="499" t="str">
        <f t="shared" si="129"/>
        <v/>
      </c>
      <c r="AM204" s="499" t="str">
        <f t="shared" si="129"/>
        <v/>
      </c>
      <c r="AN204" s="499">
        <f t="shared" si="129"/>
        <v>84958.095714285722</v>
      </c>
      <c r="AO204" s="499" t="str">
        <f t="shared" si="129"/>
        <v/>
      </c>
      <c r="AP204" s="499" t="str">
        <f t="shared" si="129"/>
        <v/>
      </c>
      <c r="AQ204" s="499" t="str">
        <f t="shared" si="129"/>
        <v/>
      </c>
      <c r="AR204" s="499" t="str">
        <f t="shared" si="129"/>
        <v/>
      </c>
      <c r="AS204" s="499">
        <f t="shared" si="129"/>
        <v>459.625</v>
      </c>
      <c r="AT204" s="499">
        <f t="shared" si="129"/>
        <v>3115</v>
      </c>
      <c r="AU204" s="499" t="str">
        <f t="shared" si="129"/>
        <v/>
      </c>
      <c r="AV204" s="499">
        <f t="shared" si="129"/>
        <v>373.5</v>
      </c>
      <c r="AW204" s="499" t="str">
        <f t="shared" si="129"/>
        <v/>
      </c>
      <c r="AX204" s="499">
        <f t="shared" si="129"/>
        <v>0</v>
      </c>
      <c r="AY204" s="499">
        <f t="shared" si="129"/>
        <v>203632.5625</v>
      </c>
      <c r="AZ204" s="499" t="str">
        <f t="shared" si="129"/>
        <v/>
      </c>
      <c r="BA204" s="499">
        <f t="shared" si="129"/>
        <v>4107.1428571428569</v>
      </c>
      <c r="BB204" s="499">
        <f t="shared" si="129"/>
        <v>28478.4375</v>
      </c>
      <c r="BC204" s="499">
        <f t="shared" si="129"/>
        <v>316637.30769230769</v>
      </c>
      <c r="BD204" s="499">
        <f t="shared" si="129"/>
        <v>258987.85714285713</v>
      </c>
      <c r="BE204" s="499" t="str">
        <f t="shared" si="129"/>
        <v/>
      </c>
      <c r="BF204" s="499" t="str">
        <f t="shared" si="129"/>
        <v/>
      </c>
      <c r="BG204" s="499">
        <f t="shared" si="129"/>
        <v>504875</v>
      </c>
      <c r="BH204" s="499" t="str">
        <f t="shared" si="129"/>
        <v/>
      </c>
      <c r="BI204" s="499" t="str">
        <f t="shared" si="129"/>
        <v/>
      </c>
      <c r="BJ204" s="499" t="str">
        <f t="shared" si="129"/>
        <v/>
      </c>
      <c r="BK204" s="499" t="str">
        <f t="shared" si="129"/>
        <v/>
      </c>
      <c r="BL204" s="499" t="str">
        <f t="shared" si="129"/>
        <v/>
      </c>
      <c r="BM204" s="499" t="str">
        <f t="shared" si="129"/>
        <v/>
      </c>
      <c r="BN204" s="499" t="str">
        <f t="shared" si="129"/>
        <v/>
      </c>
      <c r="BO204" s="499" t="str">
        <f t="shared" ref="BO204:CT204" si="130">IF(BO164=1, BO$152/BO$156, "")</f>
        <v/>
      </c>
      <c r="BP204" s="499">
        <f t="shared" si="130"/>
        <v>187975</v>
      </c>
      <c r="BQ204" s="499" t="str">
        <f t="shared" si="130"/>
        <v/>
      </c>
      <c r="BR204" s="499" t="str">
        <f t="shared" si="130"/>
        <v/>
      </c>
      <c r="BS204" s="499" t="str">
        <f t="shared" si="130"/>
        <v/>
      </c>
      <c r="BT204" s="499">
        <f t="shared" si="130"/>
        <v>0</v>
      </c>
      <c r="BU204" s="499" t="str">
        <f t="shared" si="130"/>
        <v/>
      </c>
      <c r="BV204" s="499" t="str">
        <f t="shared" si="130"/>
        <v/>
      </c>
      <c r="BW204" s="499" t="str">
        <f t="shared" si="130"/>
        <v/>
      </c>
      <c r="BX204" s="499" t="str">
        <f t="shared" si="130"/>
        <v/>
      </c>
      <c r="BY204" s="499" t="str">
        <f t="shared" si="130"/>
        <v/>
      </c>
      <c r="BZ204" s="499" t="str">
        <f t="shared" si="130"/>
        <v/>
      </c>
      <c r="CA204" s="499" t="str">
        <f t="shared" si="130"/>
        <v/>
      </c>
      <c r="CB204" s="499">
        <f t="shared" si="130"/>
        <v>15378.809523809525</v>
      </c>
      <c r="CC204" s="499" t="str">
        <f t="shared" si="130"/>
        <v/>
      </c>
      <c r="CD204" s="499" t="str">
        <f t="shared" si="130"/>
        <v/>
      </c>
      <c r="CE204" s="499" t="str">
        <f t="shared" si="130"/>
        <v/>
      </c>
      <c r="CF204" s="499" t="str">
        <f t="shared" si="130"/>
        <v/>
      </c>
      <c r="CG204" s="499" t="str">
        <f t="shared" si="130"/>
        <v/>
      </c>
      <c r="CH204" s="499" t="str">
        <f t="shared" si="130"/>
        <v/>
      </c>
      <c r="CI204" s="499" t="str">
        <f t="shared" si="130"/>
        <v/>
      </c>
      <c r="CJ204" s="499" t="str">
        <f t="shared" si="130"/>
        <v/>
      </c>
      <c r="CK204" s="499" t="str">
        <f t="shared" si="130"/>
        <v/>
      </c>
      <c r="CL204" s="499" t="str">
        <f t="shared" si="130"/>
        <v/>
      </c>
      <c r="CM204" s="499">
        <f t="shared" si="130"/>
        <v>923962</v>
      </c>
      <c r="CN204" s="499" t="str">
        <f t="shared" si="130"/>
        <v/>
      </c>
      <c r="CO204" s="499" t="str">
        <f t="shared" si="130"/>
        <v/>
      </c>
      <c r="CP204" s="499">
        <f t="shared" si="130"/>
        <v>684050</v>
      </c>
      <c r="CQ204" s="499" t="str">
        <f t="shared" si="130"/>
        <v/>
      </c>
      <c r="CR204" s="499" t="str">
        <f t="shared" si="130"/>
        <v/>
      </c>
      <c r="CS204" s="499" t="str">
        <f t="shared" si="130"/>
        <v/>
      </c>
      <c r="CT204" s="499" t="str">
        <f t="shared" si="130"/>
        <v/>
      </c>
      <c r="CU204" s="499" t="str">
        <f t="shared" ref="CU204:DZ204" si="131">IF(CU164=1, CU$152/CU$156, "")</f>
        <v/>
      </c>
      <c r="CV204" s="499">
        <f t="shared" si="131"/>
        <v>7821</v>
      </c>
      <c r="CW204" s="499">
        <f t="shared" si="131"/>
        <v>580269.25</v>
      </c>
      <c r="CX204" s="499" t="str">
        <f t="shared" si="131"/>
        <v/>
      </c>
      <c r="CY204" s="499" t="str">
        <f t="shared" si="131"/>
        <v/>
      </c>
      <c r="CZ204" s="499" t="str">
        <f t="shared" si="131"/>
        <v/>
      </c>
      <c r="DA204" s="499" t="str">
        <f t="shared" si="131"/>
        <v/>
      </c>
      <c r="DB204" s="499">
        <f t="shared" si="131"/>
        <v>1991.6666666666667</v>
      </c>
      <c r="DC204" s="499">
        <f t="shared" si="131"/>
        <v>275823.3125</v>
      </c>
      <c r="DD204" s="499" t="str">
        <f t="shared" si="131"/>
        <v/>
      </c>
      <c r="DE204" s="499">
        <f t="shared" si="131"/>
        <v>570383.32615384622</v>
      </c>
      <c r="DF204" s="499" t="str">
        <f t="shared" si="131"/>
        <v/>
      </c>
      <c r="DG204" s="499">
        <f t="shared" si="131"/>
        <v>746651.66666666663</v>
      </c>
      <c r="DH204" s="499">
        <f t="shared" si="131"/>
        <v>3018.8095714285714</v>
      </c>
      <c r="DI204" s="499" t="str">
        <f t="shared" si="131"/>
        <v/>
      </c>
      <c r="DJ204" s="499" t="str">
        <f t="shared" si="131"/>
        <v/>
      </c>
      <c r="DK204" s="499">
        <f t="shared" si="131"/>
        <v>250</v>
      </c>
      <c r="DL204" s="499" t="str">
        <f t="shared" si="131"/>
        <v/>
      </c>
      <c r="DM204" s="499" t="str">
        <f t="shared" si="131"/>
        <v/>
      </c>
      <c r="DN204" s="499" t="str">
        <f t="shared" si="131"/>
        <v/>
      </c>
      <c r="DO204" s="499" t="str">
        <f t="shared" si="131"/>
        <v/>
      </c>
      <c r="DP204" s="499" t="str">
        <f t="shared" si="131"/>
        <v/>
      </c>
      <c r="DQ204" s="499">
        <f t="shared" si="131"/>
        <v>363750</v>
      </c>
      <c r="DR204" s="499" t="str">
        <f t="shared" si="131"/>
        <v/>
      </c>
      <c r="DS204" s="499" t="str">
        <f t="shared" si="131"/>
        <v/>
      </c>
      <c r="DT204" s="499" t="str">
        <f t="shared" si="131"/>
        <v/>
      </c>
      <c r="DU204" s="499">
        <f t="shared" si="131"/>
        <v>1520233.3333333333</v>
      </c>
      <c r="DV204" s="499" t="str">
        <f t="shared" si="131"/>
        <v/>
      </c>
      <c r="DW204" s="499" t="str">
        <f t="shared" si="131"/>
        <v/>
      </c>
      <c r="DX204" s="499" t="str">
        <f t="shared" si="131"/>
        <v/>
      </c>
      <c r="DY204" s="499" t="str">
        <f t="shared" si="131"/>
        <v/>
      </c>
      <c r="DZ204" s="499" t="str">
        <f t="shared" si="131"/>
        <v/>
      </c>
      <c r="EA204" s="499" t="str">
        <f t="shared" ref="EA204:EI204" si="132">IF(EA164=1, EA$152/EA$156, "")</f>
        <v/>
      </c>
      <c r="EB204" s="499" t="str">
        <f t="shared" si="132"/>
        <v/>
      </c>
      <c r="EC204" s="499" t="str">
        <f t="shared" si="132"/>
        <v/>
      </c>
      <c r="ED204" s="499" t="str">
        <f t="shared" si="132"/>
        <v/>
      </c>
      <c r="EE204" s="499">
        <f t="shared" si="132"/>
        <v>2612500</v>
      </c>
      <c r="EF204" s="499">
        <f t="shared" si="132"/>
        <v>740478.33333333337</v>
      </c>
      <c r="EG204" s="499">
        <f t="shared" si="132"/>
        <v>77450</v>
      </c>
      <c r="EH204" s="499">
        <f t="shared" si="132"/>
        <v>186292.5</v>
      </c>
      <c r="EI204" s="499">
        <f t="shared" si="132"/>
        <v>44272.727272727272</v>
      </c>
      <c r="EJ204" s="499">
        <f t="shared" si="107"/>
        <v>13899414.04521412</v>
      </c>
      <c r="EK204" s="67"/>
      <c r="EL204" s="67"/>
      <c r="EM204" s="67"/>
      <c r="EN204" s="67"/>
      <c r="EO204" s="67"/>
      <c r="EP204" s="67"/>
      <c r="EQ204" s="67"/>
      <c r="ER204" s="67"/>
      <c r="ES204" s="67"/>
      <c r="ET204" s="67"/>
      <c r="EU204" s="67"/>
      <c r="EV204" s="67"/>
      <c r="EW204" s="67"/>
      <c r="EX204" s="67"/>
      <c r="EY204" s="67"/>
      <c r="EZ204" s="67"/>
    </row>
    <row r="205" spans="1:156">
      <c r="B205" s="500" t="s">
        <v>88</v>
      </c>
      <c r="C205" s="499" t="str">
        <f t="shared" ref="C205:AH205" si="133">IF(C165=1, C$152/C$156, "")</f>
        <v/>
      </c>
      <c r="D205" s="499" t="str">
        <f t="shared" si="133"/>
        <v/>
      </c>
      <c r="E205" s="499" t="str">
        <f t="shared" si="133"/>
        <v/>
      </c>
      <c r="F205" s="499" t="str">
        <f t="shared" si="133"/>
        <v/>
      </c>
      <c r="G205" s="499">
        <f t="shared" si="133"/>
        <v>545468.5</v>
      </c>
      <c r="H205" s="499">
        <f t="shared" si="133"/>
        <v>17291.6875</v>
      </c>
      <c r="I205" s="499" t="str">
        <f t="shared" si="133"/>
        <v/>
      </c>
      <c r="J205" s="499" t="str">
        <f t="shared" si="133"/>
        <v/>
      </c>
      <c r="K205" s="499" t="str">
        <f t="shared" si="133"/>
        <v/>
      </c>
      <c r="L205" s="499" t="str">
        <f t="shared" si="133"/>
        <v/>
      </c>
      <c r="M205" s="499" t="str">
        <f t="shared" si="133"/>
        <v/>
      </c>
      <c r="N205" s="499">
        <f t="shared" si="133"/>
        <v>0</v>
      </c>
      <c r="O205" s="499" t="str">
        <f t="shared" si="133"/>
        <v/>
      </c>
      <c r="P205" s="499">
        <f t="shared" si="133"/>
        <v>37308.5</v>
      </c>
      <c r="Q205" s="499" t="str">
        <f t="shared" si="133"/>
        <v/>
      </c>
      <c r="R205" s="499" t="str">
        <f t="shared" si="133"/>
        <v/>
      </c>
      <c r="S205" s="499" t="str">
        <f t="shared" si="133"/>
        <v/>
      </c>
      <c r="T205" s="499">
        <f t="shared" si="133"/>
        <v>380495.46666666662</v>
      </c>
      <c r="U205" s="499" t="str">
        <f t="shared" si="133"/>
        <v/>
      </c>
      <c r="V205" s="499" t="str">
        <f t="shared" si="133"/>
        <v/>
      </c>
      <c r="W205" s="499" t="str">
        <f t="shared" si="133"/>
        <v/>
      </c>
      <c r="X205" s="499">
        <f t="shared" si="133"/>
        <v>1972167.5</v>
      </c>
      <c r="Y205" s="499" t="str">
        <f t="shared" si="133"/>
        <v/>
      </c>
      <c r="Z205" s="499">
        <f t="shared" si="133"/>
        <v>1666.6666666666667</v>
      </c>
      <c r="AA205" s="499" t="str">
        <f t="shared" si="133"/>
        <v/>
      </c>
      <c r="AB205" s="499" t="str">
        <f t="shared" si="133"/>
        <v/>
      </c>
      <c r="AC205" s="499" t="str">
        <f t="shared" si="133"/>
        <v/>
      </c>
      <c r="AD205" s="499" t="str">
        <f t="shared" si="133"/>
        <v/>
      </c>
      <c r="AE205" s="499" t="str">
        <f t="shared" si="133"/>
        <v/>
      </c>
      <c r="AF205" s="499" t="str">
        <f t="shared" si="133"/>
        <v/>
      </c>
      <c r="AG205" s="499" t="str">
        <f t="shared" si="133"/>
        <v/>
      </c>
      <c r="AH205" s="499" t="str">
        <f t="shared" si="133"/>
        <v/>
      </c>
      <c r="AI205" s="499" t="str">
        <f t="shared" ref="AI205:BN205" si="134">IF(AI165=1, AI$152/AI$156, "")</f>
        <v/>
      </c>
      <c r="AJ205" s="499" t="str">
        <f t="shared" si="134"/>
        <v/>
      </c>
      <c r="AK205" s="499" t="str">
        <f t="shared" si="134"/>
        <v/>
      </c>
      <c r="AL205" s="499">
        <f t="shared" si="134"/>
        <v>205232.47666666665</v>
      </c>
      <c r="AM205" s="499" t="str">
        <f t="shared" si="134"/>
        <v/>
      </c>
      <c r="AN205" s="499" t="str">
        <f t="shared" si="134"/>
        <v/>
      </c>
      <c r="AO205" s="499">
        <f t="shared" si="134"/>
        <v>198235.55666666667</v>
      </c>
      <c r="AP205" s="499">
        <f t="shared" si="134"/>
        <v>66666.666666666672</v>
      </c>
      <c r="AQ205" s="499" t="str">
        <f t="shared" si="134"/>
        <v/>
      </c>
      <c r="AR205" s="499">
        <f t="shared" si="134"/>
        <v>33333.333333333336</v>
      </c>
      <c r="AS205" s="499" t="str">
        <f t="shared" si="134"/>
        <v/>
      </c>
      <c r="AT205" s="499" t="str">
        <f t="shared" si="134"/>
        <v/>
      </c>
      <c r="AU205" s="499">
        <f t="shared" si="134"/>
        <v>3591.75</v>
      </c>
      <c r="AV205" s="499">
        <f t="shared" si="134"/>
        <v>373.5</v>
      </c>
      <c r="AW205" s="499">
        <f t="shared" si="134"/>
        <v>2102.5</v>
      </c>
      <c r="AX205" s="499" t="str">
        <f t="shared" si="134"/>
        <v/>
      </c>
      <c r="AY205" s="499">
        <f t="shared" si="134"/>
        <v>203632.5625</v>
      </c>
      <c r="AZ205" s="499">
        <f t="shared" si="134"/>
        <v>45282.285714285717</v>
      </c>
      <c r="BA205" s="499">
        <f t="shared" si="134"/>
        <v>4107.1428571428569</v>
      </c>
      <c r="BB205" s="499">
        <f t="shared" si="134"/>
        <v>28478.4375</v>
      </c>
      <c r="BC205" s="499">
        <f t="shared" si="134"/>
        <v>316637.30769230769</v>
      </c>
      <c r="BD205" s="499">
        <f t="shared" si="134"/>
        <v>258987.85714285713</v>
      </c>
      <c r="BE205" s="499">
        <f t="shared" si="134"/>
        <v>8400</v>
      </c>
      <c r="BF205" s="499" t="str">
        <f t="shared" si="134"/>
        <v/>
      </c>
      <c r="BG205" s="499">
        <f t="shared" si="134"/>
        <v>504875</v>
      </c>
      <c r="BH205" s="499" t="str">
        <f t="shared" si="134"/>
        <v/>
      </c>
      <c r="BI205" s="499" t="str">
        <f t="shared" si="134"/>
        <v/>
      </c>
      <c r="BJ205" s="499" t="str">
        <f t="shared" si="134"/>
        <v/>
      </c>
      <c r="BK205" s="499" t="str">
        <f t="shared" si="134"/>
        <v/>
      </c>
      <c r="BL205" s="499" t="str">
        <f t="shared" si="134"/>
        <v/>
      </c>
      <c r="BM205" s="499" t="str">
        <f t="shared" si="134"/>
        <v/>
      </c>
      <c r="BN205" s="499" t="str">
        <f t="shared" si="134"/>
        <v/>
      </c>
      <c r="BO205" s="499" t="str">
        <f t="shared" ref="BO205:CT205" si="135">IF(BO165=1, BO$152/BO$156, "")</f>
        <v/>
      </c>
      <c r="BP205" s="499">
        <f t="shared" si="135"/>
        <v>187975</v>
      </c>
      <c r="BQ205" s="499" t="str">
        <f t="shared" si="135"/>
        <v/>
      </c>
      <c r="BR205" s="499">
        <f t="shared" si="135"/>
        <v>8000</v>
      </c>
      <c r="BS205" s="499" t="str">
        <f t="shared" si="135"/>
        <v/>
      </c>
      <c r="BT205" s="499" t="str">
        <f t="shared" si="135"/>
        <v/>
      </c>
      <c r="BU205" s="499" t="str">
        <f t="shared" si="135"/>
        <v/>
      </c>
      <c r="BV205" s="499">
        <f t="shared" si="135"/>
        <v>0</v>
      </c>
      <c r="BW205" s="499" t="str">
        <f t="shared" si="135"/>
        <v/>
      </c>
      <c r="BX205" s="499" t="str">
        <f t="shared" si="135"/>
        <v/>
      </c>
      <c r="BY205" s="499" t="str">
        <f t="shared" si="135"/>
        <v/>
      </c>
      <c r="BZ205" s="499" t="str">
        <f t="shared" si="135"/>
        <v/>
      </c>
      <c r="CA205" s="499" t="str">
        <f t="shared" si="135"/>
        <v/>
      </c>
      <c r="CB205" s="499" t="str">
        <f t="shared" si="135"/>
        <v/>
      </c>
      <c r="CC205" s="499" t="str">
        <f t="shared" si="135"/>
        <v/>
      </c>
      <c r="CD205" s="499">
        <f t="shared" si="135"/>
        <v>6903.2222222222226</v>
      </c>
      <c r="CE205" s="499" t="str">
        <f t="shared" si="135"/>
        <v/>
      </c>
      <c r="CF205" s="499" t="str">
        <f t="shared" si="135"/>
        <v/>
      </c>
      <c r="CG205" s="499" t="str">
        <f t="shared" si="135"/>
        <v/>
      </c>
      <c r="CH205" s="499" t="str">
        <f t="shared" si="135"/>
        <v/>
      </c>
      <c r="CI205" s="499" t="str">
        <f t="shared" si="135"/>
        <v/>
      </c>
      <c r="CJ205" s="499" t="str">
        <f t="shared" si="135"/>
        <v/>
      </c>
      <c r="CK205" s="499">
        <f t="shared" si="135"/>
        <v>363969</v>
      </c>
      <c r="CL205" s="499" t="str">
        <f t="shared" si="135"/>
        <v/>
      </c>
      <c r="CM205" s="499" t="str">
        <f t="shared" si="135"/>
        <v/>
      </c>
      <c r="CN205" s="499" t="str">
        <f t="shared" si="135"/>
        <v/>
      </c>
      <c r="CO205" s="499">
        <f t="shared" si="135"/>
        <v>5000</v>
      </c>
      <c r="CP205" s="499">
        <f t="shared" si="135"/>
        <v>684050</v>
      </c>
      <c r="CQ205" s="499" t="str">
        <f t="shared" si="135"/>
        <v/>
      </c>
      <c r="CR205" s="499" t="str">
        <f t="shared" si="135"/>
        <v/>
      </c>
      <c r="CS205" s="499" t="str">
        <f t="shared" si="135"/>
        <v/>
      </c>
      <c r="CT205" s="499" t="str">
        <f t="shared" si="135"/>
        <v/>
      </c>
      <c r="CU205" s="499" t="str">
        <f t="shared" ref="CU205:DZ205" si="136">IF(CU165=1, CU$152/CU$156, "")</f>
        <v/>
      </c>
      <c r="CV205" s="499">
        <f t="shared" si="136"/>
        <v>7821</v>
      </c>
      <c r="CW205" s="499">
        <f t="shared" si="136"/>
        <v>580269.25</v>
      </c>
      <c r="CX205" s="499">
        <f t="shared" si="136"/>
        <v>48350.104666666666</v>
      </c>
      <c r="CY205" s="499" t="str">
        <f t="shared" si="136"/>
        <v/>
      </c>
      <c r="CZ205" s="499" t="str">
        <f t="shared" si="136"/>
        <v/>
      </c>
      <c r="DA205" s="499" t="str">
        <f t="shared" si="136"/>
        <v/>
      </c>
      <c r="DB205" s="499">
        <f t="shared" si="136"/>
        <v>1991.6666666666667</v>
      </c>
      <c r="DC205" s="499">
        <f t="shared" si="136"/>
        <v>275823.3125</v>
      </c>
      <c r="DD205" s="499" t="str">
        <f t="shared" si="136"/>
        <v/>
      </c>
      <c r="DE205" s="499">
        <f t="shared" si="136"/>
        <v>570383.32615384622</v>
      </c>
      <c r="DF205" s="499">
        <f t="shared" si="136"/>
        <v>66452</v>
      </c>
      <c r="DG205" s="499">
        <f t="shared" si="136"/>
        <v>746651.66666666663</v>
      </c>
      <c r="DH205" s="499" t="str">
        <f t="shared" si="136"/>
        <v/>
      </c>
      <c r="DI205" s="499" t="str">
        <f t="shared" si="136"/>
        <v/>
      </c>
      <c r="DJ205" s="499">
        <f t="shared" si="136"/>
        <v>7043.8899999999994</v>
      </c>
      <c r="DK205" s="499">
        <f t="shared" si="136"/>
        <v>250</v>
      </c>
      <c r="DL205" s="499" t="str">
        <f t="shared" si="136"/>
        <v/>
      </c>
      <c r="DM205" s="499" t="str">
        <f t="shared" si="136"/>
        <v/>
      </c>
      <c r="DN205" s="499" t="str">
        <f t="shared" si="136"/>
        <v/>
      </c>
      <c r="DO205" s="499" t="str">
        <f t="shared" si="136"/>
        <v/>
      </c>
      <c r="DP205" s="499">
        <f t="shared" si="136"/>
        <v>62500</v>
      </c>
      <c r="DQ205" s="499" t="str">
        <f t="shared" si="136"/>
        <v/>
      </c>
      <c r="DR205" s="499" t="str">
        <f t="shared" si="136"/>
        <v/>
      </c>
      <c r="DS205" s="499" t="str">
        <f t="shared" si="136"/>
        <v/>
      </c>
      <c r="DT205" s="499" t="str">
        <f t="shared" si="136"/>
        <v/>
      </c>
      <c r="DU205" s="499" t="str">
        <f t="shared" si="136"/>
        <v/>
      </c>
      <c r="DV205" s="499" t="str">
        <f t="shared" si="136"/>
        <v/>
      </c>
      <c r="DW205" s="499" t="str">
        <f t="shared" si="136"/>
        <v/>
      </c>
      <c r="DX205" s="499" t="str">
        <f t="shared" si="136"/>
        <v/>
      </c>
      <c r="DY205" s="499" t="str">
        <f t="shared" si="136"/>
        <v/>
      </c>
      <c r="DZ205" s="499" t="str">
        <f t="shared" si="136"/>
        <v/>
      </c>
      <c r="EA205" s="499" t="str">
        <f t="shared" ref="EA205:EI205" si="137">IF(EA165=1, EA$152/EA$156, "")</f>
        <v/>
      </c>
      <c r="EB205" s="499" t="str">
        <f t="shared" si="137"/>
        <v/>
      </c>
      <c r="EC205" s="499" t="str">
        <f t="shared" si="137"/>
        <v/>
      </c>
      <c r="ED205" s="499" t="str">
        <f t="shared" si="137"/>
        <v/>
      </c>
      <c r="EE205" s="499">
        <f t="shared" si="137"/>
        <v>2612500</v>
      </c>
      <c r="EF205" s="499">
        <f t="shared" si="137"/>
        <v>740478.33333333337</v>
      </c>
      <c r="EG205" s="499">
        <f t="shared" si="137"/>
        <v>77450</v>
      </c>
      <c r="EH205" s="499" t="str">
        <f t="shared" si="137"/>
        <v/>
      </c>
      <c r="EI205" s="499">
        <f t="shared" si="137"/>
        <v>44272.727272727272</v>
      </c>
      <c r="EJ205" s="499">
        <f t="shared" si="107"/>
        <v>11932469.19705539</v>
      </c>
      <c r="EK205" s="67"/>
      <c r="EL205" s="67"/>
      <c r="EM205" s="67"/>
      <c r="EN205" s="67"/>
      <c r="EO205" s="67"/>
      <c r="EP205" s="67"/>
      <c r="EQ205" s="67"/>
      <c r="ER205" s="67"/>
      <c r="ES205" s="67"/>
      <c r="ET205" s="67"/>
      <c r="EU205" s="67"/>
      <c r="EV205" s="67"/>
      <c r="EW205" s="67"/>
      <c r="EX205" s="67"/>
      <c r="EY205" s="67"/>
      <c r="EZ205" s="67"/>
    </row>
    <row r="206" spans="1:156">
      <c r="B206" s="500" t="s">
        <v>99</v>
      </c>
      <c r="C206" s="499" t="str">
        <f t="shared" ref="C206:AH206" si="138">IF(C166=1, C$152/C$156, "")</f>
        <v/>
      </c>
      <c r="D206" s="499" t="str">
        <f t="shared" si="138"/>
        <v/>
      </c>
      <c r="E206" s="499" t="str">
        <f t="shared" si="138"/>
        <v/>
      </c>
      <c r="F206" s="499" t="str">
        <f t="shared" si="138"/>
        <v/>
      </c>
      <c r="G206" s="499" t="str">
        <f t="shared" si="138"/>
        <v/>
      </c>
      <c r="H206" s="499">
        <f t="shared" si="138"/>
        <v>17291.6875</v>
      </c>
      <c r="I206" s="499" t="str">
        <f t="shared" si="138"/>
        <v/>
      </c>
      <c r="J206" s="499" t="str">
        <f t="shared" si="138"/>
        <v/>
      </c>
      <c r="K206" s="499" t="str">
        <f t="shared" si="138"/>
        <v/>
      </c>
      <c r="L206" s="499" t="str">
        <f t="shared" si="138"/>
        <v/>
      </c>
      <c r="M206" s="499" t="str">
        <f t="shared" si="138"/>
        <v/>
      </c>
      <c r="N206" s="499">
        <f t="shared" si="138"/>
        <v>0</v>
      </c>
      <c r="O206" s="499" t="str">
        <f t="shared" si="138"/>
        <v/>
      </c>
      <c r="P206" s="499">
        <f t="shared" si="138"/>
        <v>37308.5</v>
      </c>
      <c r="Q206" s="499" t="str">
        <f t="shared" si="138"/>
        <v/>
      </c>
      <c r="R206" s="499" t="str">
        <f t="shared" si="138"/>
        <v/>
      </c>
      <c r="S206" s="499" t="str">
        <f t="shared" si="138"/>
        <v/>
      </c>
      <c r="T206" s="499">
        <f t="shared" si="138"/>
        <v>380495.46666666662</v>
      </c>
      <c r="U206" s="499" t="str">
        <f t="shared" si="138"/>
        <v/>
      </c>
      <c r="V206" s="499" t="str">
        <f t="shared" si="138"/>
        <v/>
      </c>
      <c r="W206" s="499" t="str">
        <f t="shared" si="138"/>
        <v/>
      </c>
      <c r="X206" s="499">
        <f t="shared" si="138"/>
        <v>1972167.5</v>
      </c>
      <c r="Y206" s="499" t="str">
        <f t="shared" si="138"/>
        <v/>
      </c>
      <c r="Z206" s="499">
        <f t="shared" si="138"/>
        <v>1666.6666666666667</v>
      </c>
      <c r="AA206" s="499" t="str">
        <f t="shared" si="138"/>
        <v/>
      </c>
      <c r="AB206" s="499" t="str">
        <f t="shared" si="138"/>
        <v/>
      </c>
      <c r="AC206" s="499" t="str">
        <f t="shared" si="138"/>
        <v/>
      </c>
      <c r="AD206" s="499" t="str">
        <f t="shared" si="138"/>
        <v/>
      </c>
      <c r="AE206" s="499" t="str">
        <f t="shared" si="138"/>
        <v/>
      </c>
      <c r="AF206" s="499" t="str">
        <f t="shared" si="138"/>
        <v/>
      </c>
      <c r="AG206" s="499" t="str">
        <f t="shared" si="138"/>
        <v/>
      </c>
      <c r="AH206" s="499">
        <f t="shared" si="138"/>
        <v>0</v>
      </c>
      <c r="AI206" s="499" t="str">
        <f t="shared" ref="AI206:BN206" si="139">IF(AI166=1, AI$152/AI$156, "")</f>
        <v/>
      </c>
      <c r="AJ206" s="499" t="str">
        <f t="shared" si="139"/>
        <v/>
      </c>
      <c r="AK206" s="499" t="str">
        <f t="shared" si="139"/>
        <v/>
      </c>
      <c r="AL206" s="499">
        <f t="shared" si="139"/>
        <v>205232.47666666665</v>
      </c>
      <c r="AM206" s="499" t="str">
        <f t="shared" si="139"/>
        <v/>
      </c>
      <c r="AN206" s="499" t="str">
        <f t="shared" si="139"/>
        <v/>
      </c>
      <c r="AO206" s="499">
        <f t="shared" si="139"/>
        <v>198235.55666666667</v>
      </c>
      <c r="AP206" s="499" t="str">
        <f t="shared" si="139"/>
        <v/>
      </c>
      <c r="AQ206" s="499" t="str">
        <f t="shared" si="139"/>
        <v/>
      </c>
      <c r="AR206" s="499">
        <f t="shared" si="139"/>
        <v>33333.333333333336</v>
      </c>
      <c r="AS206" s="499">
        <f t="shared" si="139"/>
        <v>459.625</v>
      </c>
      <c r="AT206" s="499" t="str">
        <f t="shared" si="139"/>
        <v/>
      </c>
      <c r="AU206" s="499">
        <f t="shared" si="139"/>
        <v>3591.75</v>
      </c>
      <c r="AV206" s="499" t="str">
        <f t="shared" si="139"/>
        <v/>
      </c>
      <c r="AW206" s="499">
        <f t="shared" si="139"/>
        <v>2102.5</v>
      </c>
      <c r="AX206" s="499" t="str">
        <f t="shared" si="139"/>
        <v/>
      </c>
      <c r="AY206" s="499">
        <f t="shared" si="139"/>
        <v>203632.5625</v>
      </c>
      <c r="AZ206" s="499" t="str">
        <f t="shared" si="139"/>
        <v/>
      </c>
      <c r="BA206" s="499">
        <f t="shared" si="139"/>
        <v>4107.1428571428569</v>
      </c>
      <c r="BB206" s="499">
        <f t="shared" si="139"/>
        <v>28478.4375</v>
      </c>
      <c r="BC206" s="499">
        <f t="shared" si="139"/>
        <v>316637.30769230769</v>
      </c>
      <c r="BD206" s="499">
        <f t="shared" si="139"/>
        <v>258987.85714285713</v>
      </c>
      <c r="BE206" s="499" t="str">
        <f t="shared" si="139"/>
        <v/>
      </c>
      <c r="BF206" s="499">
        <f t="shared" si="139"/>
        <v>115000</v>
      </c>
      <c r="BG206" s="499">
        <f t="shared" si="139"/>
        <v>504875</v>
      </c>
      <c r="BH206" s="499" t="str">
        <f t="shared" si="139"/>
        <v/>
      </c>
      <c r="BI206" s="499" t="str">
        <f t="shared" si="139"/>
        <v/>
      </c>
      <c r="BJ206" s="499" t="str">
        <f t="shared" si="139"/>
        <v/>
      </c>
      <c r="BK206" s="499" t="str">
        <f t="shared" si="139"/>
        <v/>
      </c>
      <c r="BL206" s="499" t="str">
        <f t="shared" si="139"/>
        <v/>
      </c>
      <c r="BM206" s="499" t="str">
        <f t="shared" si="139"/>
        <v/>
      </c>
      <c r="BN206" s="499" t="str">
        <f t="shared" si="139"/>
        <v/>
      </c>
      <c r="BO206" s="499" t="str">
        <f t="shared" ref="BO206:CT206" si="140">IF(BO166=1, BO$152/BO$156, "")</f>
        <v/>
      </c>
      <c r="BP206" s="499">
        <f t="shared" si="140"/>
        <v>187975</v>
      </c>
      <c r="BQ206" s="499" t="str">
        <f t="shared" si="140"/>
        <v/>
      </c>
      <c r="BR206" s="499" t="str">
        <f t="shared" si="140"/>
        <v/>
      </c>
      <c r="BS206" s="499" t="str">
        <f t="shared" si="140"/>
        <v/>
      </c>
      <c r="BT206" s="499" t="str">
        <f t="shared" si="140"/>
        <v/>
      </c>
      <c r="BU206" s="499" t="str">
        <f t="shared" si="140"/>
        <v/>
      </c>
      <c r="BV206" s="499">
        <f t="shared" si="140"/>
        <v>0</v>
      </c>
      <c r="BW206" s="499" t="str">
        <f t="shared" si="140"/>
        <v/>
      </c>
      <c r="BX206" s="499" t="str">
        <f t="shared" si="140"/>
        <v/>
      </c>
      <c r="BY206" s="499" t="str">
        <f t="shared" si="140"/>
        <v/>
      </c>
      <c r="BZ206" s="499" t="str">
        <f t="shared" si="140"/>
        <v/>
      </c>
      <c r="CA206" s="499" t="str">
        <f t="shared" si="140"/>
        <v/>
      </c>
      <c r="CB206" s="499" t="str">
        <f t="shared" si="140"/>
        <v/>
      </c>
      <c r="CC206" s="499" t="str">
        <f t="shared" si="140"/>
        <v/>
      </c>
      <c r="CD206" s="499">
        <f t="shared" si="140"/>
        <v>6903.2222222222226</v>
      </c>
      <c r="CE206" s="499" t="str">
        <f t="shared" si="140"/>
        <v/>
      </c>
      <c r="CF206" s="499" t="str">
        <f t="shared" si="140"/>
        <v/>
      </c>
      <c r="CG206" s="499" t="str">
        <f t="shared" si="140"/>
        <v/>
      </c>
      <c r="CH206" s="499" t="str">
        <f t="shared" si="140"/>
        <v/>
      </c>
      <c r="CI206" s="499">
        <f t="shared" si="140"/>
        <v>0</v>
      </c>
      <c r="CJ206" s="499" t="str">
        <f t="shared" si="140"/>
        <v/>
      </c>
      <c r="CK206" s="499" t="str">
        <f t="shared" si="140"/>
        <v/>
      </c>
      <c r="CL206" s="499" t="str">
        <f t="shared" si="140"/>
        <v/>
      </c>
      <c r="CM206" s="499" t="str">
        <f t="shared" si="140"/>
        <v/>
      </c>
      <c r="CN206" s="499" t="str">
        <f t="shared" si="140"/>
        <v/>
      </c>
      <c r="CO206" s="499">
        <f t="shared" si="140"/>
        <v>5000</v>
      </c>
      <c r="CP206" s="499" t="str">
        <f t="shared" si="140"/>
        <v/>
      </c>
      <c r="CQ206" s="499" t="str">
        <f t="shared" si="140"/>
        <v/>
      </c>
      <c r="CR206" s="499" t="str">
        <f t="shared" si="140"/>
        <v/>
      </c>
      <c r="CS206" s="499" t="str">
        <f t="shared" si="140"/>
        <v/>
      </c>
      <c r="CT206" s="499" t="str">
        <f t="shared" si="140"/>
        <v/>
      </c>
      <c r="CU206" s="499" t="str">
        <f t="shared" ref="CU206:DZ206" si="141">IF(CU166=1, CU$152/CU$156, "")</f>
        <v/>
      </c>
      <c r="CV206" s="499" t="str">
        <f t="shared" si="141"/>
        <v/>
      </c>
      <c r="CW206" s="499">
        <f t="shared" si="141"/>
        <v>580269.25</v>
      </c>
      <c r="CX206" s="499">
        <f t="shared" si="141"/>
        <v>48350.104666666666</v>
      </c>
      <c r="CY206" s="499" t="str">
        <f t="shared" si="141"/>
        <v/>
      </c>
      <c r="CZ206" s="499" t="str">
        <f t="shared" si="141"/>
        <v/>
      </c>
      <c r="DA206" s="499" t="str">
        <f t="shared" si="141"/>
        <v/>
      </c>
      <c r="DB206" s="499">
        <f t="shared" si="141"/>
        <v>1991.6666666666667</v>
      </c>
      <c r="DC206" s="499">
        <f t="shared" si="141"/>
        <v>275823.3125</v>
      </c>
      <c r="DD206" s="499" t="str">
        <f t="shared" si="141"/>
        <v/>
      </c>
      <c r="DE206" s="499">
        <f t="shared" si="141"/>
        <v>570383.32615384622</v>
      </c>
      <c r="DF206" s="499" t="str">
        <f t="shared" si="141"/>
        <v/>
      </c>
      <c r="DG206" s="499">
        <f t="shared" si="141"/>
        <v>746651.66666666663</v>
      </c>
      <c r="DH206" s="499" t="str">
        <f t="shared" si="141"/>
        <v/>
      </c>
      <c r="DI206" s="499" t="str">
        <f t="shared" si="141"/>
        <v/>
      </c>
      <c r="DJ206" s="499">
        <f t="shared" si="141"/>
        <v>7043.8899999999994</v>
      </c>
      <c r="DK206" s="499">
        <f t="shared" si="141"/>
        <v>250</v>
      </c>
      <c r="DL206" s="499" t="str">
        <f t="shared" si="141"/>
        <v/>
      </c>
      <c r="DM206" s="499" t="str">
        <f t="shared" si="141"/>
        <v/>
      </c>
      <c r="DN206" s="499" t="str">
        <f t="shared" si="141"/>
        <v/>
      </c>
      <c r="DO206" s="499" t="str">
        <f t="shared" si="141"/>
        <v/>
      </c>
      <c r="DP206" s="499" t="str">
        <f t="shared" si="141"/>
        <v/>
      </c>
      <c r="DQ206" s="499">
        <f t="shared" si="141"/>
        <v>363750</v>
      </c>
      <c r="DR206" s="499" t="str">
        <f t="shared" si="141"/>
        <v/>
      </c>
      <c r="DS206" s="499" t="str">
        <f t="shared" si="141"/>
        <v/>
      </c>
      <c r="DT206" s="499" t="str">
        <f t="shared" si="141"/>
        <v/>
      </c>
      <c r="DU206" s="499" t="str">
        <f t="shared" si="141"/>
        <v/>
      </c>
      <c r="DV206" s="499" t="str">
        <f t="shared" si="141"/>
        <v/>
      </c>
      <c r="DW206" s="499" t="str">
        <f t="shared" si="141"/>
        <v/>
      </c>
      <c r="DX206" s="499" t="str">
        <f t="shared" si="141"/>
        <v/>
      </c>
      <c r="DY206" s="499" t="str">
        <f t="shared" si="141"/>
        <v/>
      </c>
      <c r="DZ206" s="499" t="str">
        <f t="shared" si="141"/>
        <v/>
      </c>
      <c r="EA206" s="499" t="str">
        <f t="shared" ref="EA206:EI206" si="142">IF(EA166=1, EA$152/EA$156, "")</f>
        <v/>
      </c>
      <c r="EB206" s="499" t="str">
        <f t="shared" si="142"/>
        <v/>
      </c>
      <c r="EC206" s="499" t="str">
        <f t="shared" si="142"/>
        <v/>
      </c>
      <c r="ED206" s="499" t="str">
        <f t="shared" si="142"/>
        <v/>
      </c>
      <c r="EE206" s="499">
        <f t="shared" si="142"/>
        <v>2612500</v>
      </c>
      <c r="EF206" s="499">
        <f t="shared" si="142"/>
        <v>740478.33333333337</v>
      </c>
      <c r="EG206" s="499" t="str">
        <f t="shared" si="142"/>
        <v/>
      </c>
      <c r="EH206" s="499" t="str">
        <f t="shared" si="142"/>
        <v/>
      </c>
      <c r="EI206" s="499">
        <f t="shared" si="142"/>
        <v>44272.727272727272</v>
      </c>
      <c r="EJ206" s="499">
        <f t="shared" si="107"/>
        <v>10475245.869674439</v>
      </c>
      <c r="EK206" s="67"/>
      <c r="EL206" s="67"/>
      <c r="EM206" s="67"/>
      <c r="EN206" s="67"/>
      <c r="EO206" s="67"/>
      <c r="EP206" s="67"/>
      <c r="EQ206" s="67"/>
      <c r="ER206" s="67"/>
      <c r="ES206" s="67"/>
      <c r="ET206" s="67"/>
      <c r="EU206" s="67"/>
      <c r="EV206" s="67"/>
      <c r="EW206" s="67"/>
      <c r="EX206" s="67"/>
      <c r="EY206" s="67"/>
      <c r="EZ206" s="67"/>
    </row>
    <row r="207" spans="1:156">
      <c r="B207" s="500" t="s">
        <v>87</v>
      </c>
      <c r="C207" s="499" t="str">
        <f t="shared" ref="C207:AH207" si="143">IF(C167=1, C$152/C$156, "")</f>
        <v/>
      </c>
      <c r="D207" s="499" t="str">
        <f t="shared" si="143"/>
        <v/>
      </c>
      <c r="E207" s="499" t="str">
        <f t="shared" si="143"/>
        <v/>
      </c>
      <c r="F207" s="499" t="str">
        <f t="shared" si="143"/>
        <v/>
      </c>
      <c r="G207" s="499">
        <f t="shared" si="143"/>
        <v>545468.5</v>
      </c>
      <c r="H207" s="499">
        <f t="shared" si="143"/>
        <v>17291.6875</v>
      </c>
      <c r="I207" s="499" t="str">
        <f t="shared" si="143"/>
        <v/>
      </c>
      <c r="J207" s="499" t="str">
        <f t="shared" si="143"/>
        <v/>
      </c>
      <c r="K207" s="499" t="str">
        <f t="shared" si="143"/>
        <v/>
      </c>
      <c r="L207" s="499" t="str">
        <f t="shared" si="143"/>
        <v/>
      </c>
      <c r="M207" s="499" t="str">
        <f t="shared" si="143"/>
        <v/>
      </c>
      <c r="N207" s="499">
        <f t="shared" si="143"/>
        <v>0</v>
      </c>
      <c r="O207" s="499" t="str">
        <f t="shared" si="143"/>
        <v/>
      </c>
      <c r="P207" s="499" t="str">
        <f t="shared" si="143"/>
        <v/>
      </c>
      <c r="Q207" s="499" t="str">
        <f t="shared" si="143"/>
        <v/>
      </c>
      <c r="R207" s="499" t="str">
        <f t="shared" si="143"/>
        <v/>
      </c>
      <c r="S207" s="499" t="str">
        <f t="shared" si="143"/>
        <v/>
      </c>
      <c r="T207" s="499">
        <f t="shared" si="143"/>
        <v>380495.46666666662</v>
      </c>
      <c r="U207" s="499" t="str">
        <f t="shared" si="143"/>
        <v/>
      </c>
      <c r="V207" s="499" t="str">
        <f t="shared" si="143"/>
        <v/>
      </c>
      <c r="W207" s="499" t="str">
        <f t="shared" si="143"/>
        <v/>
      </c>
      <c r="X207" s="499">
        <f t="shared" si="143"/>
        <v>1972167.5</v>
      </c>
      <c r="Y207" s="499" t="str">
        <f t="shared" si="143"/>
        <v/>
      </c>
      <c r="Z207" s="499">
        <f t="shared" si="143"/>
        <v>1666.6666666666667</v>
      </c>
      <c r="AA207" s="499" t="str">
        <f t="shared" si="143"/>
        <v/>
      </c>
      <c r="AB207" s="499" t="str">
        <f t="shared" si="143"/>
        <v/>
      </c>
      <c r="AC207" s="499" t="str">
        <f t="shared" si="143"/>
        <v/>
      </c>
      <c r="AD207" s="499" t="str">
        <f t="shared" si="143"/>
        <v/>
      </c>
      <c r="AE207" s="499" t="str">
        <f t="shared" si="143"/>
        <v/>
      </c>
      <c r="AF207" s="499" t="str">
        <f t="shared" si="143"/>
        <v/>
      </c>
      <c r="AG207" s="499" t="str">
        <f t="shared" si="143"/>
        <v/>
      </c>
      <c r="AH207" s="499">
        <f t="shared" si="143"/>
        <v>0</v>
      </c>
      <c r="AI207" s="499" t="str">
        <f t="shared" ref="AI207:BN207" si="144">IF(AI167=1, AI$152/AI$156, "")</f>
        <v/>
      </c>
      <c r="AJ207" s="499" t="str">
        <f t="shared" si="144"/>
        <v/>
      </c>
      <c r="AK207" s="499" t="str">
        <f t="shared" si="144"/>
        <v/>
      </c>
      <c r="AL207" s="499">
        <f t="shared" si="144"/>
        <v>205232.47666666665</v>
      </c>
      <c r="AM207" s="499" t="str">
        <f t="shared" si="144"/>
        <v/>
      </c>
      <c r="AN207" s="499" t="str">
        <f t="shared" si="144"/>
        <v/>
      </c>
      <c r="AO207" s="499">
        <f t="shared" si="144"/>
        <v>198235.55666666667</v>
      </c>
      <c r="AP207" s="499">
        <f t="shared" si="144"/>
        <v>66666.666666666672</v>
      </c>
      <c r="AQ207" s="499" t="str">
        <f t="shared" si="144"/>
        <v/>
      </c>
      <c r="AR207" s="499" t="str">
        <f t="shared" si="144"/>
        <v/>
      </c>
      <c r="AS207" s="499">
        <f t="shared" si="144"/>
        <v>459.625</v>
      </c>
      <c r="AT207" s="499" t="str">
        <f t="shared" si="144"/>
        <v/>
      </c>
      <c r="AU207" s="499" t="str">
        <f t="shared" si="144"/>
        <v/>
      </c>
      <c r="AV207" s="499" t="str">
        <f t="shared" si="144"/>
        <v/>
      </c>
      <c r="AW207" s="499" t="str">
        <f t="shared" si="144"/>
        <v/>
      </c>
      <c r="AX207" s="499">
        <f t="shared" si="144"/>
        <v>0</v>
      </c>
      <c r="AY207" s="499">
        <f t="shared" si="144"/>
        <v>203632.5625</v>
      </c>
      <c r="AZ207" s="499" t="str">
        <f t="shared" si="144"/>
        <v/>
      </c>
      <c r="BA207" s="499" t="str">
        <f t="shared" si="144"/>
        <v/>
      </c>
      <c r="BB207" s="499">
        <f t="shared" si="144"/>
        <v>28478.4375</v>
      </c>
      <c r="BC207" s="499">
        <f t="shared" si="144"/>
        <v>316637.30769230769</v>
      </c>
      <c r="BD207" s="499" t="str">
        <f t="shared" si="144"/>
        <v/>
      </c>
      <c r="BE207" s="499">
        <f t="shared" si="144"/>
        <v>8400</v>
      </c>
      <c r="BF207" s="499" t="str">
        <f t="shared" si="144"/>
        <v/>
      </c>
      <c r="BG207" s="499">
        <f t="shared" si="144"/>
        <v>504875</v>
      </c>
      <c r="BH207" s="499" t="str">
        <f t="shared" si="144"/>
        <v/>
      </c>
      <c r="BI207" s="499" t="str">
        <f t="shared" si="144"/>
        <v/>
      </c>
      <c r="BJ207" s="499" t="str">
        <f t="shared" si="144"/>
        <v/>
      </c>
      <c r="BK207" s="499" t="str">
        <f t="shared" si="144"/>
        <v/>
      </c>
      <c r="BL207" s="499" t="str">
        <f t="shared" si="144"/>
        <v/>
      </c>
      <c r="BM207" s="499" t="str">
        <f t="shared" si="144"/>
        <v/>
      </c>
      <c r="BN207" s="499" t="str">
        <f t="shared" si="144"/>
        <v/>
      </c>
      <c r="BO207" s="499" t="str">
        <f t="shared" ref="BO207:CT207" si="145">IF(BO167=1, BO$152/BO$156, "")</f>
        <v/>
      </c>
      <c r="BP207" s="499">
        <f t="shared" si="145"/>
        <v>187975</v>
      </c>
      <c r="BQ207" s="499" t="str">
        <f t="shared" si="145"/>
        <v/>
      </c>
      <c r="BR207" s="499">
        <f t="shared" si="145"/>
        <v>8000</v>
      </c>
      <c r="BS207" s="499" t="str">
        <f t="shared" si="145"/>
        <v/>
      </c>
      <c r="BT207" s="499" t="str">
        <f t="shared" si="145"/>
        <v/>
      </c>
      <c r="BU207" s="499" t="str">
        <f t="shared" si="145"/>
        <v/>
      </c>
      <c r="BV207" s="499">
        <f t="shared" si="145"/>
        <v>0</v>
      </c>
      <c r="BW207" s="499" t="str">
        <f t="shared" si="145"/>
        <v/>
      </c>
      <c r="BX207" s="499" t="str">
        <f t="shared" si="145"/>
        <v/>
      </c>
      <c r="BY207" s="499" t="str">
        <f t="shared" si="145"/>
        <v/>
      </c>
      <c r="BZ207" s="499" t="str">
        <f t="shared" si="145"/>
        <v/>
      </c>
      <c r="CA207" s="499" t="str">
        <f t="shared" si="145"/>
        <v/>
      </c>
      <c r="CB207" s="499" t="str">
        <f t="shared" si="145"/>
        <v/>
      </c>
      <c r="CC207" s="499" t="str">
        <f t="shared" si="145"/>
        <v/>
      </c>
      <c r="CD207" s="499">
        <f t="shared" si="145"/>
        <v>6903.2222222222226</v>
      </c>
      <c r="CE207" s="499" t="str">
        <f t="shared" si="145"/>
        <v/>
      </c>
      <c r="CF207" s="499" t="str">
        <f t="shared" si="145"/>
        <v/>
      </c>
      <c r="CG207" s="499" t="str">
        <f t="shared" si="145"/>
        <v/>
      </c>
      <c r="CH207" s="499" t="str">
        <f t="shared" si="145"/>
        <v/>
      </c>
      <c r="CI207" s="499" t="str">
        <f t="shared" si="145"/>
        <v/>
      </c>
      <c r="CJ207" s="499" t="str">
        <f t="shared" si="145"/>
        <v/>
      </c>
      <c r="CK207" s="499" t="str">
        <f t="shared" si="145"/>
        <v/>
      </c>
      <c r="CL207" s="499" t="str">
        <f t="shared" si="145"/>
        <v/>
      </c>
      <c r="CM207" s="499" t="str">
        <f t="shared" si="145"/>
        <v/>
      </c>
      <c r="CN207" s="499" t="str">
        <f t="shared" si="145"/>
        <v/>
      </c>
      <c r="CO207" s="499">
        <f t="shared" si="145"/>
        <v>5000</v>
      </c>
      <c r="CP207" s="499" t="str">
        <f t="shared" si="145"/>
        <v/>
      </c>
      <c r="CQ207" s="499" t="str">
        <f t="shared" si="145"/>
        <v/>
      </c>
      <c r="CR207" s="499" t="str">
        <f t="shared" si="145"/>
        <v/>
      </c>
      <c r="CS207" s="499" t="str">
        <f t="shared" si="145"/>
        <v/>
      </c>
      <c r="CT207" s="499" t="str">
        <f t="shared" si="145"/>
        <v/>
      </c>
      <c r="CU207" s="499" t="str">
        <f t="shared" ref="CU207:DZ207" si="146">IF(CU167=1, CU$152/CU$156, "")</f>
        <v/>
      </c>
      <c r="CV207" s="499">
        <f t="shared" si="146"/>
        <v>7821</v>
      </c>
      <c r="CW207" s="499">
        <f t="shared" si="146"/>
        <v>580269.25</v>
      </c>
      <c r="CX207" s="499">
        <f t="shared" si="146"/>
        <v>48350.104666666666</v>
      </c>
      <c r="CY207" s="499" t="str">
        <f t="shared" si="146"/>
        <v/>
      </c>
      <c r="CZ207" s="499" t="str">
        <f t="shared" si="146"/>
        <v/>
      </c>
      <c r="DA207" s="499" t="str">
        <f t="shared" si="146"/>
        <v/>
      </c>
      <c r="DB207" s="499">
        <f t="shared" si="146"/>
        <v>1991.6666666666667</v>
      </c>
      <c r="DC207" s="499">
        <f t="shared" si="146"/>
        <v>275823.3125</v>
      </c>
      <c r="DD207" s="499" t="str">
        <f t="shared" si="146"/>
        <v/>
      </c>
      <c r="DE207" s="499">
        <f t="shared" si="146"/>
        <v>570383.32615384622</v>
      </c>
      <c r="DF207" s="499">
        <f t="shared" si="146"/>
        <v>66452</v>
      </c>
      <c r="DG207" s="499">
        <f t="shared" si="146"/>
        <v>746651.66666666663</v>
      </c>
      <c r="DH207" s="499" t="str">
        <f t="shared" si="146"/>
        <v/>
      </c>
      <c r="DI207" s="499" t="str">
        <f t="shared" si="146"/>
        <v/>
      </c>
      <c r="DJ207" s="499">
        <f t="shared" si="146"/>
        <v>7043.8899999999994</v>
      </c>
      <c r="DK207" s="499">
        <f t="shared" si="146"/>
        <v>250</v>
      </c>
      <c r="DL207" s="499" t="str">
        <f t="shared" si="146"/>
        <v/>
      </c>
      <c r="DM207" s="499">
        <f t="shared" si="146"/>
        <v>13133.5</v>
      </c>
      <c r="DN207" s="499" t="str">
        <f t="shared" si="146"/>
        <v/>
      </c>
      <c r="DO207" s="499" t="str">
        <f t="shared" si="146"/>
        <v/>
      </c>
      <c r="DP207" s="499" t="str">
        <f t="shared" si="146"/>
        <v/>
      </c>
      <c r="DQ207" s="499" t="str">
        <f t="shared" si="146"/>
        <v/>
      </c>
      <c r="DR207" s="499" t="str">
        <f t="shared" si="146"/>
        <v/>
      </c>
      <c r="DS207" s="499" t="str">
        <f t="shared" si="146"/>
        <v/>
      </c>
      <c r="DT207" s="499" t="str">
        <f t="shared" si="146"/>
        <v/>
      </c>
      <c r="DU207" s="499" t="str">
        <f t="shared" si="146"/>
        <v/>
      </c>
      <c r="DV207" s="499" t="str">
        <f t="shared" si="146"/>
        <v/>
      </c>
      <c r="DW207" s="499" t="str">
        <f t="shared" si="146"/>
        <v/>
      </c>
      <c r="DX207" s="499" t="str">
        <f t="shared" si="146"/>
        <v/>
      </c>
      <c r="DY207" s="499" t="str">
        <f t="shared" si="146"/>
        <v/>
      </c>
      <c r="DZ207" s="499" t="str">
        <f t="shared" si="146"/>
        <v/>
      </c>
      <c r="EA207" s="499" t="str">
        <f t="shared" ref="EA207:EI207" si="147">IF(EA167=1, EA$152/EA$156, "")</f>
        <v/>
      </c>
      <c r="EB207" s="499" t="str">
        <f t="shared" si="147"/>
        <v/>
      </c>
      <c r="EC207" s="499" t="str">
        <f t="shared" si="147"/>
        <v/>
      </c>
      <c r="ED207" s="499" t="str">
        <f t="shared" si="147"/>
        <v/>
      </c>
      <c r="EE207" s="499">
        <f t="shared" si="147"/>
        <v>2612500</v>
      </c>
      <c r="EF207" s="499">
        <f t="shared" si="147"/>
        <v>740478.33333333337</v>
      </c>
      <c r="EG207" s="499">
        <f t="shared" si="147"/>
        <v>77450</v>
      </c>
      <c r="EH207" s="499">
        <f t="shared" si="147"/>
        <v>186292.5</v>
      </c>
      <c r="EI207" s="499">
        <f t="shared" si="147"/>
        <v>44272.727272727272</v>
      </c>
      <c r="EJ207" s="499">
        <f t="shared" si="107"/>
        <v>10636748.953007771</v>
      </c>
      <c r="EK207" s="67"/>
      <c r="EL207" s="67"/>
      <c r="EM207" s="67"/>
      <c r="EN207" s="67"/>
      <c r="EO207" s="67"/>
      <c r="EP207" s="67"/>
      <c r="EQ207" s="67"/>
      <c r="ER207" s="67"/>
      <c r="ES207" s="67"/>
      <c r="ET207" s="67"/>
      <c r="EU207" s="67"/>
      <c r="EV207" s="67"/>
      <c r="EW207" s="67"/>
      <c r="EX207" s="67"/>
      <c r="EY207" s="67"/>
      <c r="EZ207" s="67"/>
    </row>
    <row r="208" spans="1:156">
      <c r="B208" s="500" t="s">
        <v>89</v>
      </c>
      <c r="C208" s="499" t="str">
        <f t="shared" ref="C208:AH208" si="148">IF(C168=1, C$152/C$156, "")</f>
        <v/>
      </c>
      <c r="D208" s="499" t="str">
        <f t="shared" si="148"/>
        <v/>
      </c>
      <c r="E208" s="499" t="str">
        <f t="shared" si="148"/>
        <v/>
      </c>
      <c r="F208" s="499" t="str">
        <f t="shared" si="148"/>
        <v/>
      </c>
      <c r="G208" s="499">
        <f t="shared" si="148"/>
        <v>545468.5</v>
      </c>
      <c r="H208" s="499">
        <f t="shared" si="148"/>
        <v>17291.6875</v>
      </c>
      <c r="I208" s="499" t="str">
        <f t="shared" si="148"/>
        <v/>
      </c>
      <c r="J208" s="499" t="str">
        <f t="shared" si="148"/>
        <v/>
      </c>
      <c r="K208" s="499" t="str">
        <f t="shared" si="148"/>
        <v/>
      </c>
      <c r="L208" s="499" t="str">
        <f t="shared" si="148"/>
        <v/>
      </c>
      <c r="M208" s="499" t="str">
        <f t="shared" si="148"/>
        <v/>
      </c>
      <c r="N208" s="499" t="str">
        <f t="shared" si="148"/>
        <v/>
      </c>
      <c r="O208" s="499" t="str">
        <f t="shared" si="148"/>
        <v/>
      </c>
      <c r="P208" s="499" t="str">
        <f t="shared" si="148"/>
        <v/>
      </c>
      <c r="Q208" s="499" t="str">
        <f t="shared" si="148"/>
        <v/>
      </c>
      <c r="R208" s="499" t="str">
        <f t="shared" si="148"/>
        <v/>
      </c>
      <c r="S208" s="499">
        <f t="shared" si="148"/>
        <v>378868.80199999997</v>
      </c>
      <c r="T208" s="499" t="str">
        <f t="shared" si="148"/>
        <v/>
      </c>
      <c r="U208" s="499" t="str">
        <f t="shared" si="148"/>
        <v/>
      </c>
      <c r="V208" s="499" t="str">
        <f t="shared" si="148"/>
        <v/>
      </c>
      <c r="W208" s="499" t="str">
        <f t="shared" si="148"/>
        <v/>
      </c>
      <c r="X208" s="499">
        <f t="shared" si="148"/>
        <v>1972167.5</v>
      </c>
      <c r="Y208" s="499" t="str">
        <f t="shared" si="148"/>
        <v/>
      </c>
      <c r="Z208" s="499">
        <f t="shared" si="148"/>
        <v>1666.6666666666667</v>
      </c>
      <c r="AA208" s="499">
        <f t="shared" si="148"/>
        <v>396216.66666666669</v>
      </c>
      <c r="AB208" s="499" t="str">
        <f t="shared" si="148"/>
        <v/>
      </c>
      <c r="AC208" s="499" t="str">
        <f t="shared" si="148"/>
        <v/>
      </c>
      <c r="AD208" s="499" t="str">
        <f t="shared" si="148"/>
        <v/>
      </c>
      <c r="AE208" s="499" t="str">
        <f t="shared" si="148"/>
        <v/>
      </c>
      <c r="AF208" s="499" t="str">
        <f t="shared" si="148"/>
        <v/>
      </c>
      <c r="AG208" s="499" t="str">
        <f t="shared" si="148"/>
        <v/>
      </c>
      <c r="AH208" s="499">
        <f t="shared" si="148"/>
        <v>0</v>
      </c>
      <c r="AI208" s="499" t="str">
        <f t="shared" ref="AI208:BN208" si="149">IF(AI168=1, AI$152/AI$156, "")</f>
        <v/>
      </c>
      <c r="AJ208" s="499" t="str">
        <f t="shared" si="149"/>
        <v/>
      </c>
      <c r="AK208" s="499">
        <f t="shared" si="149"/>
        <v>304189.51400000002</v>
      </c>
      <c r="AL208" s="499" t="str">
        <f t="shared" si="149"/>
        <v/>
      </c>
      <c r="AM208" s="499">
        <f t="shared" si="149"/>
        <v>118941.33333333342</v>
      </c>
      <c r="AN208" s="499" t="str">
        <f t="shared" si="149"/>
        <v/>
      </c>
      <c r="AO208" s="499" t="str">
        <f t="shared" si="149"/>
        <v/>
      </c>
      <c r="AP208" s="499" t="str">
        <f t="shared" si="149"/>
        <v/>
      </c>
      <c r="AQ208" s="499" t="str">
        <f t="shared" si="149"/>
        <v/>
      </c>
      <c r="AR208" s="499" t="str">
        <f t="shared" si="149"/>
        <v/>
      </c>
      <c r="AS208" s="499">
        <f t="shared" si="149"/>
        <v>459.625</v>
      </c>
      <c r="AT208" s="499" t="str">
        <f t="shared" si="149"/>
        <v/>
      </c>
      <c r="AU208" s="499">
        <f t="shared" si="149"/>
        <v>3591.75</v>
      </c>
      <c r="AV208" s="499" t="str">
        <f t="shared" si="149"/>
        <v/>
      </c>
      <c r="AW208" s="499" t="str">
        <f t="shared" si="149"/>
        <v/>
      </c>
      <c r="AX208" s="499" t="str">
        <f t="shared" si="149"/>
        <v/>
      </c>
      <c r="AY208" s="499">
        <f t="shared" si="149"/>
        <v>203632.5625</v>
      </c>
      <c r="AZ208" s="499" t="str">
        <f t="shared" si="149"/>
        <v/>
      </c>
      <c r="BA208" s="499" t="str">
        <f t="shared" si="149"/>
        <v/>
      </c>
      <c r="BB208" s="499">
        <f t="shared" si="149"/>
        <v>28478.4375</v>
      </c>
      <c r="BC208" s="499">
        <f t="shared" si="149"/>
        <v>316637.30769230769</v>
      </c>
      <c r="BD208" s="499" t="str">
        <f t="shared" si="149"/>
        <v/>
      </c>
      <c r="BE208" s="499" t="str">
        <f t="shared" si="149"/>
        <v/>
      </c>
      <c r="BF208" s="499" t="str">
        <f t="shared" si="149"/>
        <v/>
      </c>
      <c r="BG208" s="499" t="str">
        <f t="shared" si="149"/>
        <v/>
      </c>
      <c r="BH208" s="499" t="str">
        <f t="shared" si="149"/>
        <v/>
      </c>
      <c r="BI208" s="499" t="str">
        <f t="shared" si="149"/>
        <v/>
      </c>
      <c r="BJ208" s="499" t="str">
        <f t="shared" si="149"/>
        <v/>
      </c>
      <c r="BK208" s="499" t="str">
        <f t="shared" si="149"/>
        <v/>
      </c>
      <c r="BL208" s="499" t="str">
        <f t="shared" si="149"/>
        <v/>
      </c>
      <c r="BM208" s="499" t="str">
        <f t="shared" si="149"/>
        <v/>
      </c>
      <c r="BN208" s="499">
        <f t="shared" si="149"/>
        <v>0</v>
      </c>
      <c r="BO208" s="499" t="str">
        <f t="shared" ref="BO208:CT208" si="150">IF(BO168=1, BO$152/BO$156, "")</f>
        <v/>
      </c>
      <c r="BP208" s="499">
        <f t="shared" si="150"/>
        <v>187975</v>
      </c>
      <c r="BQ208" s="499" t="str">
        <f t="shared" si="150"/>
        <v/>
      </c>
      <c r="BR208" s="499" t="str">
        <f t="shared" si="150"/>
        <v/>
      </c>
      <c r="BS208" s="499" t="str">
        <f t="shared" si="150"/>
        <v/>
      </c>
      <c r="BT208" s="499" t="str">
        <f t="shared" si="150"/>
        <v/>
      </c>
      <c r="BU208" s="499">
        <f t="shared" si="150"/>
        <v>0</v>
      </c>
      <c r="BV208" s="499" t="str">
        <f t="shared" si="150"/>
        <v/>
      </c>
      <c r="BW208" s="499" t="str">
        <f t="shared" si="150"/>
        <v/>
      </c>
      <c r="BX208" s="499" t="str">
        <f t="shared" si="150"/>
        <v/>
      </c>
      <c r="BY208" s="499" t="str">
        <f t="shared" si="150"/>
        <v/>
      </c>
      <c r="BZ208" s="499" t="str">
        <f t="shared" si="150"/>
        <v/>
      </c>
      <c r="CA208" s="499" t="str">
        <f t="shared" si="150"/>
        <v/>
      </c>
      <c r="CB208" s="499" t="str">
        <f t="shared" si="150"/>
        <v/>
      </c>
      <c r="CC208" s="499">
        <f t="shared" si="150"/>
        <v>4141.9333333333334</v>
      </c>
      <c r="CD208" s="499" t="str">
        <f t="shared" si="150"/>
        <v/>
      </c>
      <c r="CE208" s="499" t="str">
        <f t="shared" si="150"/>
        <v/>
      </c>
      <c r="CF208" s="499">
        <f t="shared" si="150"/>
        <v>2980.7142857142858</v>
      </c>
      <c r="CG208" s="499" t="str">
        <f t="shared" si="150"/>
        <v/>
      </c>
      <c r="CH208" s="499" t="str">
        <f t="shared" si="150"/>
        <v/>
      </c>
      <c r="CI208" s="499" t="str">
        <f t="shared" si="150"/>
        <v/>
      </c>
      <c r="CJ208" s="499" t="str">
        <f t="shared" si="150"/>
        <v/>
      </c>
      <c r="CK208" s="499" t="str">
        <f t="shared" si="150"/>
        <v/>
      </c>
      <c r="CL208" s="499" t="str">
        <f t="shared" si="150"/>
        <v/>
      </c>
      <c r="CM208" s="499" t="str">
        <f t="shared" si="150"/>
        <v/>
      </c>
      <c r="CN208" s="499" t="str">
        <f t="shared" si="150"/>
        <v/>
      </c>
      <c r="CO208" s="499">
        <f t="shared" si="150"/>
        <v>5000</v>
      </c>
      <c r="CP208" s="499" t="str">
        <f t="shared" si="150"/>
        <v/>
      </c>
      <c r="CQ208" s="499" t="str">
        <f t="shared" si="150"/>
        <v/>
      </c>
      <c r="CR208" s="499" t="str">
        <f t="shared" si="150"/>
        <v/>
      </c>
      <c r="CS208" s="499" t="str">
        <f t="shared" si="150"/>
        <v/>
      </c>
      <c r="CT208" s="499" t="str">
        <f t="shared" si="150"/>
        <v/>
      </c>
      <c r="CU208" s="499" t="str">
        <f t="shared" ref="CU208:DZ208" si="151">IF(CU168=1, CU$152/CU$156, "")</f>
        <v/>
      </c>
      <c r="CV208" s="499" t="str">
        <f t="shared" si="151"/>
        <v/>
      </c>
      <c r="CW208" s="499">
        <f t="shared" si="151"/>
        <v>580269.25</v>
      </c>
      <c r="CX208" s="499">
        <f t="shared" si="151"/>
        <v>48350.104666666666</v>
      </c>
      <c r="CY208" s="499" t="str">
        <f t="shared" si="151"/>
        <v/>
      </c>
      <c r="CZ208" s="499" t="str">
        <f t="shared" si="151"/>
        <v/>
      </c>
      <c r="DA208" s="499" t="str">
        <f t="shared" si="151"/>
        <v/>
      </c>
      <c r="DB208" s="499">
        <f t="shared" si="151"/>
        <v>1991.6666666666667</v>
      </c>
      <c r="DC208" s="499">
        <f t="shared" si="151"/>
        <v>275823.3125</v>
      </c>
      <c r="DD208" s="499" t="str">
        <f t="shared" si="151"/>
        <v/>
      </c>
      <c r="DE208" s="499">
        <f t="shared" si="151"/>
        <v>570383.32615384622</v>
      </c>
      <c r="DF208" s="499" t="str">
        <f t="shared" si="151"/>
        <v/>
      </c>
      <c r="DG208" s="499" t="str">
        <f t="shared" si="151"/>
        <v/>
      </c>
      <c r="DH208" s="499" t="str">
        <f t="shared" si="151"/>
        <v/>
      </c>
      <c r="DI208" s="499">
        <f t="shared" si="151"/>
        <v>0</v>
      </c>
      <c r="DJ208" s="499" t="str">
        <f t="shared" si="151"/>
        <v/>
      </c>
      <c r="DK208" s="499">
        <f t="shared" si="151"/>
        <v>250</v>
      </c>
      <c r="DL208" s="499" t="str">
        <f t="shared" si="151"/>
        <v/>
      </c>
      <c r="DM208" s="499" t="str">
        <f t="shared" si="151"/>
        <v/>
      </c>
      <c r="DN208" s="499" t="str">
        <f t="shared" si="151"/>
        <v/>
      </c>
      <c r="DO208" s="499" t="str">
        <f t="shared" si="151"/>
        <v/>
      </c>
      <c r="DP208" s="499" t="str">
        <f t="shared" si="151"/>
        <v/>
      </c>
      <c r="DQ208" s="499" t="str">
        <f t="shared" si="151"/>
        <v/>
      </c>
      <c r="DR208" s="499" t="str">
        <f t="shared" si="151"/>
        <v/>
      </c>
      <c r="DS208" s="499" t="str">
        <f t="shared" si="151"/>
        <v/>
      </c>
      <c r="DT208" s="499">
        <f t="shared" si="151"/>
        <v>142538</v>
      </c>
      <c r="DU208" s="499" t="str">
        <f t="shared" si="151"/>
        <v/>
      </c>
      <c r="DV208" s="499" t="str">
        <f t="shared" si="151"/>
        <v/>
      </c>
      <c r="DW208" s="499" t="str">
        <f t="shared" si="151"/>
        <v/>
      </c>
      <c r="DX208" s="499" t="str">
        <f t="shared" si="151"/>
        <v/>
      </c>
      <c r="DY208" s="499" t="str">
        <f t="shared" si="151"/>
        <v/>
      </c>
      <c r="DZ208" s="499" t="str">
        <f t="shared" si="151"/>
        <v/>
      </c>
      <c r="EA208" s="499" t="str">
        <f t="shared" ref="EA208:EI208" si="152">IF(EA168=1, EA$152/EA$156, "")</f>
        <v/>
      </c>
      <c r="EB208" s="499" t="str">
        <f t="shared" si="152"/>
        <v/>
      </c>
      <c r="EC208" s="499" t="str">
        <f t="shared" si="152"/>
        <v/>
      </c>
      <c r="ED208" s="499" t="str">
        <f t="shared" si="152"/>
        <v/>
      </c>
      <c r="EE208" s="499">
        <f t="shared" si="152"/>
        <v>2612500</v>
      </c>
      <c r="EF208" s="499" t="str">
        <f t="shared" si="152"/>
        <v/>
      </c>
      <c r="EG208" s="499">
        <f t="shared" si="152"/>
        <v>77450</v>
      </c>
      <c r="EH208" s="499">
        <f t="shared" si="152"/>
        <v>186292.5</v>
      </c>
      <c r="EI208" s="499">
        <f t="shared" si="152"/>
        <v>44272.727272727272</v>
      </c>
      <c r="EJ208" s="499">
        <f t="shared" si="107"/>
        <v>9027828.8877379298</v>
      </c>
      <c r="EK208" s="67"/>
      <c r="EL208" s="67"/>
      <c r="EM208" s="67"/>
      <c r="EN208" s="67"/>
      <c r="EO208" s="67"/>
      <c r="EP208" s="67"/>
      <c r="EQ208" s="67"/>
      <c r="ER208" s="67"/>
      <c r="ES208" s="67"/>
      <c r="ET208" s="67"/>
      <c r="EU208" s="67"/>
      <c r="EV208" s="67"/>
      <c r="EW208" s="67"/>
      <c r="EX208" s="67"/>
      <c r="EY208" s="67"/>
      <c r="EZ208" s="67"/>
    </row>
    <row r="209" spans="1:156">
      <c r="B209" s="500" t="s">
        <v>91</v>
      </c>
      <c r="C209" s="499" t="str">
        <f t="shared" ref="C209:AH209" si="153">IF(C169=1, C$152/C$156, "")</f>
        <v/>
      </c>
      <c r="D209" s="499" t="str">
        <f t="shared" si="153"/>
        <v/>
      </c>
      <c r="E209" s="499" t="str">
        <f t="shared" si="153"/>
        <v/>
      </c>
      <c r="F209" s="499" t="str">
        <f t="shared" si="153"/>
        <v/>
      </c>
      <c r="G209" s="499" t="str">
        <f t="shared" si="153"/>
        <v/>
      </c>
      <c r="H209" s="499">
        <f t="shared" si="153"/>
        <v>17291.6875</v>
      </c>
      <c r="I209" s="499" t="str">
        <f t="shared" si="153"/>
        <v/>
      </c>
      <c r="J209" s="499" t="str">
        <f t="shared" si="153"/>
        <v/>
      </c>
      <c r="K209" s="499" t="str">
        <f t="shared" si="153"/>
        <v/>
      </c>
      <c r="L209" s="499" t="str">
        <f t="shared" si="153"/>
        <v/>
      </c>
      <c r="M209" s="499" t="str">
        <f t="shared" si="153"/>
        <v/>
      </c>
      <c r="N209" s="499">
        <f t="shared" si="153"/>
        <v>0</v>
      </c>
      <c r="O209" s="499" t="str">
        <f t="shared" si="153"/>
        <v/>
      </c>
      <c r="P209" s="499" t="str">
        <f t="shared" si="153"/>
        <v/>
      </c>
      <c r="Q209" s="499" t="str">
        <f t="shared" si="153"/>
        <v/>
      </c>
      <c r="R209" s="499" t="str">
        <f t="shared" si="153"/>
        <v/>
      </c>
      <c r="S209" s="499">
        <f t="shared" si="153"/>
        <v>378868.80199999997</v>
      </c>
      <c r="T209" s="499" t="str">
        <f t="shared" si="153"/>
        <v/>
      </c>
      <c r="U209" s="499" t="str">
        <f t="shared" si="153"/>
        <v/>
      </c>
      <c r="V209" s="499" t="str">
        <f t="shared" si="153"/>
        <v/>
      </c>
      <c r="W209" s="499" t="str">
        <f t="shared" si="153"/>
        <v/>
      </c>
      <c r="X209" s="499">
        <f t="shared" si="153"/>
        <v>1972167.5</v>
      </c>
      <c r="Y209" s="499" t="str">
        <f t="shared" si="153"/>
        <v/>
      </c>
      <c r="Z209" s="499">
        <f t="shared" si="153"/>
        <v>1666.6666666666667</v>
      </c>
      <c r="AA209" s="499">
        <f t="shared" si="153"/>
        <v>396216.66666666669</v>
      </c>
      <c r="AB209" s="499" t="str">
        <f t="shared" si="153"/>
        <v/>
      </c>
      <c r="AC209" s="499" t="str">
        <f t="shared" si="153"/>
        <v/>
      </c>
      <c r="AD209" s="499" t="str">
        <f t="shared" si="153"/>
        <v/>
      </c>
      <c r="AE209" s="499" t="str">
        <f t="shared" si="153"/>
        <v/>
      </c>
      <c r="AF209" s="499" t="str">
        <f t="shared" si="153"/>
        <v/>
      </c>
      <c r="AG209" s="499" t="str">
        <f t="shared" si="153"/>
        <v/>
      </c>
      <c r="AH209" s="499">
        <f t="shared" si="153"/>
        <v>0</v>
      </c>
      <c r="AI209" s="499" t="str">
        <f t="shared" ref="AI209:BN209" si="154">IF(AI169=1, AI$152/AI$156, "")</f>
        <v/>
      </c>
      <c r="AJ209" s="499" t="str">
        <f t="shared" si="154"/>
        <v/>
      </c>
      <c r="AK209" s="499">
        <f t="shared" si="154"/>
        <v>304189.51400000002</v>
      </c>
      <c r="AL209" s="499" t="str">
        <f t="shared" si="154"/>
        <v/>
      </c>
      <c r="AM209" s="499">
        <f t="shared" si="154"/>
        <v>118941.33333333342</v>
      </c>
      <c r="AN209" s="499" t="str">
        <f t="shared" si="154"/>
        <v/>
      </c>
      <c r="AO209" s="499" t="str">
        <f t="shared" si="154"/>
        <v/>
      </c>
      <c r="AP209" s="499" t="str">
        <f t="shared" si="154"/>
        <v/>
      </c>
      <c r="AQ209" s="499" t="str">
        <f t="shared" si="154"/>
        <v/>
      </c>
      <c r="AR209" s="499" t="str">
        <f t="shared" si="154"/>
        <v/>
      </c>
      <c r="AS209" s="499">
        <f t="shared" si="154"/>
        <v>459.625</v>
      </c>
      <c r="AT209" s="499" t="str">
        <f t="shared" si="154"/>
        <v/>
      </c>
      <c r="AU209" s="499">
        <f t="shared" si="154"/>
        <v>3591.75</v>
      </c>
      <c r="AV209" s="499" t="str">
        <f t="shared" si="154"/>
        <v/>
      </c>
      <c r="AW209" s="499" t="str">
        <f t="shared" si="154"/>
        <v/>
      </c>
      <c r="AX209" s="499" t="str">
        <f t="shared" si="154"/>
        <v/>
      </c>
      <c r="AY209" s="499">
        <f t="shared" si="154"/>
        <v>203632.5625</v>
      </c>
      <c r="AZ209" s="499" t="str">
        <f t="shared" si="154"/>
        <v/>
      </c>
      <c r="BA209" s="499">
        <f t="shared" si="154"/>
        <v>4107.1428571428569</v>
      </c>
      <c r="BB209" s="499">
        <f t="shared" si="154"/>
        <v>28478.4375</v>
      </c>
      <c r="BC209" s="499">
        <f t="shared" si="154"/>
        <v>316637.30769230769</v>
      </c>
      <c r="BD209" s="499">
        <f t="shared" si="154"/>
        <v>258987.85714285713</v>
      </c>
      <c r="BE209" s="499" t="str">
        <f t="shared" si="154"/>
        <v/>
      </c>
      <c r="BF209" s="499" t="str">
        <f t="shared" si="154"/>
        <v/>
      </c>
      <c r="BG209" s="499" t="str">
        <f t="shared" si="154"/>
        <v/>
      </c>
      <c r="BH209" s="499" t="str">
        <f t="shared" si="154"/>
        <v/>
      </c>
      <c r="BI209" s="499" t="str">
        <f t="shared" si="154"/>
        <v/>
      </c>
      <c r="BJ209" s="499" t="str">
        <f t="shared" si="154"/>
        <v/>
      </c>
      <c r="BK209" s="499" t="str">
        <f t="shared" si="154"/>
        <v/>
      </c>
      <c r="BL209" s="499" t="str">
        <f t="shared" si="154"/>
        <v/>
      </c>
      <c r="BM209" s="499" t="str">
        <f t="shared" si="154"/>
        <v/>
      </c>
      <c r="BN209" s="499">
        <f t="shared" si="154"/>
        <v>0</v>
      </c>
      <c r="BO209" s="499" t="str">
        <f t="shared" ref="BO209:CT209" si="155">IF(BO169=1, BO$152/BO$156, "")</f>
        <v/>
      </c>
      <c r="BP209" s="499">
        <f t="shared" si="155"/>
        <v>187975</v>
      </c>
      <c r="BQ209" s="499" t="str">
        <f t="shared" si="155"/>
        <v/>
      </c>
      <c r="BR209" s="499" t="str">
        <f t="shared" si="155"/>
        <v/>
      </c>
      <c r="BS209" s="499" t="str">
        <f t="shared" si="155"/>
        <v/>
      </c>
      <c r="BT209" s="499" t="str">
        <f t="shared" si="155"/>
        <v/>
      </c>
      <c r="BU209" s="499">
        <f t="shared" si="155"/>
        <v>0</v>
      </c>
      <c r="BV209" s="499" t="str">
        <f t="shared" si="155"/>
        <v/>
      </c>
      <c r="BW209" s="499" t="str">
        <f t="shared" si="155"/>
        <v/>
      </c>
      <c r="BX209" s="499" t="str">
        <f t="shared" si="155"/>
        <v/>
      </c>
      <c r="BY209" s="499" t="str">
        <f t="shared" si="155"/>
        <v/>
      </c>
      <c r="BZ209" s="499" t="str">
        <f t="shared" si="155"/>
        <v/>
      </c>
      <c r="CA209" s="499" t="str">
        <f t="shared" si="155"/>
        <v/>
      </c>
      <c r="CB209" s="499" t="str">
        <f t="shared" si="155"/>
        <v/>
      </c>
      <c r="CC209" s="499">
        <f t="shared" si="155"/>
        <v>4141.9333333333334</v>
      </c>
      <c r="CD209" s="499" t="str">
        <f t="shared" si="155"/>
        <v/>
      </c>
      <c r="CE209" s="499" t="str">
        <f t="shared" si="155"/>
        <v/>
      </c>
      <c r="CF209" s="499">
        <f t="shared" si="155"/>
        <v>2980.7142857142858</v>
      </c>
      <c r="CG209" s="499">
        <f t="shared" si="155"/>
        <v>1445743.3333333333</v>
      </c>
      <c r="CH209" s="499" t="str">
        <f t="shared" si="155"/>
        <v/>
      </c>
      <c r="CI209" s="499">
        <f t="shared" si="155"/>
        <v>0</v>
      </c>
      <c r="CJ209" s="499" t="str">
        <f t="shared" si="155"/>
        <v/>
      </c>
      <c r="CK209" s="499">
        <f t="shared" si="155"/>
        <v>363969</v>
      </c>
      <c r="CL209" s="499" t="str">
        <f t="shared" si="155"/>
        <v/>
      </c>
      <c r="CM209" s="499" t="str">
        <f t="shared" si="155"/>
        <v/>
      </c>
      <c r="CN209" s="499" t="str">
        <f t="shared" si="155"/>
        <v/>
      </c>
      <c r="CO209" s="499">
        <f t="shared" si="155"/>
        <v>5000</v>
      </c>
      <c r="CP209" s="499" t="str">
        <f t="shared" si="155"/>
        <v/>
      </c>
      <c r="CQ209" s="499" t="str">
        <f t="shared" si="155"/>
        <v/>
      </c>
      <c r="CR209" s="499" t="str">
        <f t="shared" si="155"/>
        <v/>
      </c>
      <c r="CS209" s="499" t="str">
        <f t="shared" si="155"/>
        <v/>
      </c>
      <c r="CT209" s="499" t="str">
        <f t="shared" si="155"/>
        <v/>
      </c>
      <c r="CU209" s="499" t="str">
        <f t="shared" ref="CU209:DZ209" si="156">IF(CU169=1, CU$152/CU$156, "")</f>
        <v/>
      </c>
      <c r="CV209" s="499" t="str">
        <f t="shared" si="156"/>
        <v/>
      </c>
      <c r="CW209" s="499">
        <f t="shared" si="156"/>
        <v>580269.25</v>
      </c>
      <c r="CX209" s="499">
        <f t="shared" si="156"/>
        <v>48350.104666666666</v>
      </c>
      <c r="CY209" s="499" t="str">
        <f t="shared" si="156"/>
        <v/>
      </c>
      <c r="CZ209" s="499" t="str">
        <f t="shared" si="156"/>
        <v/>
      </c>
      <c r="DA209" s="499" t="str">
        <f t="shared" si="156"/>
        <v/>
      </c>
      <c r="DB209" s="499">
        <f t="shared" si="156"/>
        <v>1991.6666666666667</v>
      </c>
      <c r="DC209" s="499">
        <f t="shared" si="156"/>
        <v>275823.3125</v>
      </c>
      <c r="DD209" s="499" t="str">
        <f t="shared" si="156"/>
        <v/>
      </c>
      <c r="DE209" s="499">
        <f t="shared" si="156"/>
        <v>570383.32615384622</v>
      </c>
      <c r="DF209" s="499">
        <f t="shared" si="156"/>
        <v>66452</v>
      </c>
      <c r="DG209" s="499" t="str">
        <f t="shared" si="156"/>
        <v/>
      </c>
      <c r="DH209" s="499" t="str">
        <f t="shared" si="156"/>
        <v/>
      </c>
      <c r="DI209" s="499">
        <f t="shared" si="156"/>
        <v>0</v>
      </c>
      <c r="DJ209" s="499" t="str">
        <f t="shared" si="156"/>
        <v/>
      </c>
      <c r="DK209" s="499">
        <f t="shared" si="156"/>
        <v>250</v>
      </c>
      <c r="DL209" s="499" t="str">
        <f t="shared" si="156"/>
        <v/>
      </c>
      <c r="DM209" s="499" t="str">
        <f t="shared" si="156"/>
        <v/>
      </c>
      <c r="DN209" s="499" t="str">
        <f t="shared" si="156"/>
        <v/>
      </c>
      <c r="DO209" s="499" t="str">
        <f t="shared" si="156"/>
        <v/>
      </c>
      <c r="DP209" s="499" t="str">
        <f t="shared" si="156"/>
        <v/>
      </c>
      <c r="DQ209" s="499" t="str">
        <f t="shared" si="156"/>
        <v/>
      </c>
      <c r="DR209" s="499" t="str">
        <f t="shared" si="156"/>
        <v/>
      </c>
      <c r="DS209" s="499" t="str">
        <f t="shared" si="156"/>
        <v/>
      </c>
      <c r="DT209" s="499">
        <f t="shared" si="156"/>
        <v>142538</v>
      </c>
      <c r="DU209" s="499" t="str">
        <f t="shared" si="156"/>
        <v/>
      </c>
      <c r="DV209" s="499" t="str">
        <f t="shared" si="156"/>
        <v/>
      </c>
      <c r="DW209" s="499">
        <f t="shared" si="156"/>
        <v>17617323.25</v>
      </c>
      <c r="DX209" s="499" t="str">
        <f t="shared" si="156"/>
        <v/>
      </c>
      <c r="DY209" s="499" t="str">
        <f t="shared" si="156"/>
        <v/>
      </c>
      <c r="DZ209" s="499" t="str">
        <f t="shared" si="156"/>
        <v/>
      </c>
      <c r="EA209" s="499" t="str">
        <f t="shared" ref="EA209:EI209" si="157">IF(EA169=1, EA$152/EA$156, "")</f>
        <v/>
      </c>
      <c r="EB209" s="499" t="str">
        <f t="shared" si="157"/>
        <v/>
      </c>
      <c r="EC209" s="499" t="str">
        <f t="shared" si="157"/>
        <v/>
      </c>
      <c r="ED209" s="499" t="str">
        <f t="shared" si="157"/>
        <v/>
      </c>
      <c r="EE209" s="499">
        <f t="shared" si="157"/>
        <v>2612500</v>
      </c>
      <c r="EF209" s="499" t="str">
        <f t="shared" si="157"/>
        <v/>
      </c>
      <c r="EG209" s="499">
        <f t="shared" si="157"/>
        <v>77450</v>
      </c>
      <c r="EH209" s="499">
        <f t="shared" si="157"/>
        <v>186292.5</v>
      </c>
      <c r="EI209" s="499">
        <f t="shared" si="157"/>
        <v>44272.727272727272</v>
      </c>
      <c r="EJ209" s="499">
        <f t="shared" si="107"/>
        <v>28238942.971071262</v>
      </c>
      <c r="EK209" s="67"/>
      <c r="EL209" s="67"/>
      <c r="EM209" s="67"/>
      <c r="EN209" s="67"/>
      <c r="EO209" s="67"/>
      <c r="EP209" s="67"/>
      <c r="EQ209" s="67"/>
      <c r="ER209" s="67"/>
      <c r="ES209" s="67"/>
      <c r="ET209" s="67"/>
      <c r="EU209" s="67"/>
      <c r="EV209" s="67"/>
      <c r="EW209" s="67"/>
      <c r="EX209" s="67"/>
      <c r="EY209" s="67"/>
      <c r="EZ209" s="67"/>
    </row>
    <row r="210" spans="1:156">
      <c r="B210" s="500" t="s">
        <v>100</v>
      </c>
      <c r="C210" s="499" t="str">
        <f t="shared" ref="C210:AH210" si="158">IF(C170=1, C$152/C$156, "")</f>
        <v/>
      </c>
      <c r="D210" s="499" t="str">
        <f t="shared" si="158"/>
        <v/>
      </c>
      <c r="E210" s="499" t="str">
        <f t="shared" si="158"/>
        <v/>
      </c>
      <c r="F210" s="499" t="str">
        <f t="shared" si="158"/>
        <v/>
      </c>
      <c r="G210" s="499" t="str">
        <f t="shared" si="158"/>
        <v/>
      </c>
      <c r="H210" s="499">
        <f t="shared" si="158"/>
        <v>17291.6875</v>
      </c>
      <c r="I210" s="499" t="str">
        <f t="shared" si="158"/>
        <v/>
      </c>
      <c r="J210" s="499" t="str">
        <f t="shared" si="158"/>
        <v/>
      </c>
      <c r="K210" s="499" t="str">
        <f t="shared" si="158"/>
        <v/>
      </c>
      <c r="L210" s="499" t="str">
        <f t="shared" si="158"/>
        <v/>
      </c>
      <c r="M210" s="499" t="str">
        <f t="shared" si="158"/>
        <v/>
      </c>
      <c r="N210" s="499" t="str">
        <f t="shared" si="158"/>
        <v/>
      </c>
      <c r="O210" s="499" t="str">
        <f t="shared" si="158"/>
        <v/>
      </c>
      <c r="P210" s="499" t="str">
        <f t="shared" si="158"/>
        <v/>
      </c>
      <c r="Q210" s="499" t="str">
        <f t="shared" si="158"/>
        <v/>
      </c>
      <c r="R210" s="499" t="str">
        <f t="shared" si="158"/>
        <v/>
      </c>
      <c r="S210" s="499">
        <f t="shared" si="158"/>
        <v>378868.80199999997</v>
      </c>
      <c r="T210" s="499" t="str">
        <f t="shared" si="158"/>
        <v/>
      </c>
      <c r="U210" s="499">
        <f t="shared" si="158"/>
        <v>155350</v>
      </c>
      <c r="V210" s="499" t="str">
        <f t="shared" si="158"/>
        <v/>
      </c>
      <c r="W210" s="499" t="str">
        <f t="shared" si="158"/>
        <v/>
      </c>
      <c r="X210" s="499">
        <f t="shared" si="158"/>
        <v>1972167.5</v>
      </c>
      <c r="Y210" s="499" t="str">
        <f t="shared" si="158"/>
        <v/>
      </c>
      <c r="Z210" s="499">
        <f t="shared" si="158"/>
        <v>1666.6666666666667</v>
      </c>
      <c r="AA210" s="499" t="str">
        <f t="shared" si="158"/>
        <v/>
      </c>
      <c r="AB210" s="499" t="str">
        <f t="shared" si="158"/>
        <v/>
      </c>
      <c r="AC210" s="499" t="str">
        <f t="shared" si="158"/>
        <v/>
      </c>
      <c r="AD210" s="499">
        <f t="shared" si="158"/>
        <v>218950</v>
      </c>
      <c r="AE210" s="499" t="str">
        <f t="shared" si="158"/>
        <v/>
      </c>
      <c r="AF210" s="499" t="str">
        <f t="shared" si="158"/>
        <v/>
      </c>
      <c r="AG210" s="499">
        <f t="shared" si="158"/>
        <v>170137.5</v>
      </c>
      <c r="AH210" s="499">
        <f t="shared" si="158"/>
        <v>0</v>
      </c>
      <c r="AI210" s="499">
        <f t="shared" ref="AI210:BN210" si="159">IF(AI170=1, AI$152/AI$156, "")</f>
        <v>0</v>
      </c>
      <c r="AJ210" s="499" t="str">
        <f t="shared" si="159"/>
        <v/>
      </c>
      <c r="AK210" s="499">
        <f t="shared" si="159"/>
        <v>304189.51400000002</v>
      </c>
      <c r="AL210" s="499" t="str">
        <f t="shared" si="159"/>
        <v/>
      </c>
      <c r="AM210" s="499">
        <f t="shared" si="159"/>
        <v>118941.33333333342</v>
      </c>
      <c r="AN210" s="499" t="str">
        <f t="shared" si="159"/>
        <v/>
      </c>
      <c r="AO210" s="499" t="str">
        <f t="shared" si="159"/>
        <v/>
      </c>
      <c r="AP210" s="499" t="str">
        <f t="shared" si="159"/>
        <v/>
      </c>
      <c r="AQ210" s="499" t="str">
        <f t="shared" si="159"/>
        <v/>
      </c>
      <c r="AR210" s="499" t="str">
        <f t="shared" si="159"/>
        <v/>
      </c>
      <c r="AS210" s="499">
        <f t="shared" si="159"/>
        <v>459.625</v>
      </c>
      <c r="AT210" s="499" t="str">
        <f t="shared" si="159"/>
        <v/>
      </c>
      <c r="AU210" s="499">
        <f t="shared" si="159"/>
        <v>3591.75</v>
      </c>
      <c r="AV210" s="499">
        <f t="shared" si="159"/>
        <v>373.5</v>
      </c>
      <c r="AW210" s="499">
        <f t="shared" si="159"/>
        <v>2102.5</v>
      </c>
      <c r="AX210" s="499" t="str">
        <f t="shared" si="159"/>
        <v/>
      </c>
      <c r="AY210" s="499">
        <f t="shared" si="159"/>
        <v>203632.5625</v>
      </c>
      <c r="AZ210" s="499">
        <f t="shared" si="159"/>
        <v>45282.285714285717</v>
      </c>
      <c r="BA210" s="499">
        <f t="shared" si="159"/>
        <v>4107.1428571428569</v>
      </c>
      <c r="BB210" s="499">
        <f t="shared" si="159"/>
        <v>28478.4375</v>
      </c>
      <c r="BC210" s="499">
        <f t="shared" si="159"/>
        <v>316637.30769230769</v>
      </c>
      <c r="BD210" s="499">
        <f t="shared" si="159"/>
        <v>258987.85714285713</v>
      </c>
      <c r="BE210" s="499">
        <f t="shared" si="159"/>
        <v>8400</v>
      </c>
      <c r="BF210" s="499">
        <f t="shared" si="159"/>
        <v>115000</v>
      </c>
      <c r="BG210" s="499">
        <f t="shared" si="159"/>
        <v>504875</v>
      </c>
      <c r="BH210" s="499" t="str">
        <f t="shared" si="159"/>
        <v/>
      </c>
      <c r="BI210" s="499" t="str">
        <f t="shared" si="159"/>
        <v/>
      </c>
      <c r="BJ210" s="499" t="str">
        <f t="shared" si="159"/>
        <v/>
      </c>
      <c r="BK210" s="499" t="str">
        <f t="shared" si="159"/>
        <v/>
      </c>
      <c r="BL210" s="499" t="str">
        <f t="shared" si="159"/>
        <v/>
      </c>
      <c r="BM210" s="499" t="str">
        <f t="shared" si="159"/>
        <v/>
      </c>
      <c r="BN210" s="499">
        <f t="shared" si="159"/>
        <v>0</v>
      </c>
      <c r="BO210" s="499" t="str">
        <f t="shared" ref="BO210:CT210" si="160">IF(BO170=1, BO$152/BO$156, "")</f>
        <v/>
      </c>
      <c r="BP210" s="499">
        <f t="shared" si="160"/>
        <v>187975</v>
      </c>
      <c r="BQ210" s="499" t="str">
        <f t="shared" si="160"/>
        <v/>
      </c>
      <c r="BR210" s="499" t="str">
        <f t="shared" si="160"/>
        <v/>
      </c>
      <c r="BS210" s="499" t="str">
        <f t="shared" si="160"/>
        <v/>
      </c>
      <c r="BT210" s="499" t="str">
        <f t="shared" si="160"/>
        <v/>
      </c>
      <c r="BU210" s="499">
        <f t="shared" si="160"/>
        <v>0</v>
      </c>
      <c r="BV210" s="499" t="str">
        <f t="shared" si="160"/>
        <v/>
      </c>
      <c r="BW210" s="499" t="str">
        <f t="shared" si="160"/>
        <v/>
      </c>
      <c r="BX210" s="499" t="str">
        <f t="shared" si="160"/>
        <v/>
      </c>
      <c r="BY210" s="499" t="str">
        <f t="shared" si="160"/>
        <v/>
      </c>
      <c r="BZ210" s="499" t="str">
        <f t="shared" si="160"/>
        <v/>
      </c>
      <c r="CA210" s="499" t="str">
        <f t="shared" si="160"/>
        <v/>
      </c>
      <c r="CB210" s="499" t="str">
        <f t="shared" si="160"/>
        <v/>
      </c>
      <c r="CC210" s="499">
        <f t="shared" si="160"/>
        <v>4141.9333333333334</v>
      </c>
      <c r="CD210" s="499" t="str">
        <f t="shared" si="160"/>
        <v/>
      </c>
      <c r="CE210" s="499" t="str">
        <f t="shared" si="160"/>
        <v/>
      </c>
      <c r="CF210" s="499">
        <f t="shared" si="160"/>
        <v>2980.7142857142858</v>
      </c>
      <c r="CG210" s="499">
        <f t="shared" si="160"/>
        <v>1445743.3333333333</v>
      </c>
      <c r="CH210" s="499" t="str">
        <f t="shared" si="160"/>
        <v/>
      </c>
      <c r="CI210" s="499">
        <f t="shared" si="160"/>
        <v>0</v>
      </c>
      <c r="CJ210" s="499" t="str">
        <f t="shared" si="160"/>
        <v/>
      </c>
      <c r="CK210" s="499">
        <f t="shared" si="160"/>
        <v>363969</v>
      </c>
      <c r="CL210" s="499" t="str">
        <f t="shared" si="160"/>
        <v/>
      </c>
      <c r="CM210" s="499" t="str">
        <f t="shared" si="160"/>
        <v/>
      </c>
      <c r="CN210" s="499">
        <f t="shared" si="160"/>
        <v>1139875</v>
      </c>
      <c r="CO210" s="499">
        <f t="shared" si="160"/>
        <v>5000</v>
      </c>
      <c r="CP210" s="499" t="str">
        <f t="shared" si="160"/>
        <v/>
      </c>
      <c r="CQ210" s="499" t="str">
        <f t="shared" si="160"/>
        <v/>
      </c>
      <c r="CR210" s="499" t="str">
        <f t="shared" si="160"/>
        <v/>
      </c>
      <c r="CS210" s="499" t="str">
        <f t="shared" si="160"/>
        <v/>
      </c>
      <c r="CT210" s="499" t="str">
        <f t="shared" si="160"/>
        <v/>
      </c>
      <c r="CU210" s="499" t="str">
        <f t="shared" ref="CU210:DZ210" si="161">IF(CU170=1, CU$152/CU$156, "")</f>
        <v/>
      </c>
      <c r="CV210" s="499" t="str">
        <f t="shared" si="161"/>
        <v/>
      </c>
      <c r="CW210" s="499">
        <f t="shared" si="161"/>
        <v>580269.25</v>
      </c>
      <c r="CX210" s="499">
        <f t="shared" si="161"/>
        <v>48350.104666666666</v>
      </c>
      <c r="CY210" s="499" t="str">
        <f t="shared" si="161"/>
        <v/>
      </c>
      <c r="CZ210" s="499" t="str">
        <f t="shared" si="161"/>
        <v/>
      </c>
      <c r="DA210" s="499" t="str">
        <f t="shared" si="161"/>
        <v/>
      </c>
      <c r="DB210" s="499">
        <f t="shared" si="161"/>
        <v>1991.6666666666667</v>
      </c>
      <c r="DC210" s="499">
        <f t="shared" si="161"/>
        <v>275823.3125</v>
      </c>
      <c r="DD210" s="499" t="str">
        <f t="shared" si="161"/>
        <v/>
      </c>
      <c r="DE210" s="499">
        <f t="shared" si="161"/>
        <v>570383.32615384622</v>
      </c>
      <c r="DF210" s="499" t="str">
        <f t="shared" si="161"/>
        <v/>
      </c>
      <c r="DG210" s="499" t="str">
        <f t="shared" si="161"/>
        <v/>
      </c>
      <c r="DH210" s="499" t="str">
        <f t="shared" si="161"/>
        <v/>
      </c>
      <c r="DI210" s="499">
        <f t="shared" si="161"/>
        <v>0</v>
      </c>
      <c r="DJ210" s="499" t="str">
        <f t="shared" si="161"/>
        <v/>
      </c>
      <c r="DK210" s="499">
        <f t="shared" si="161"/>
        <v>250</v>
      </c>
      <c r="DL210" s="499" t="str">
        <f t="shared" si="161"/>
        <v/>
      </c>
      <c r="DM210" s="499" t="str">
        <f t="shared" si="161"/>
        <v/>
      </c>
      <c r="DN210" s="499" t="str">
        <f t="shared" si="161"/>
        <v/>
      </c>
      <c r="DO210" s="499" t="str">
        <f t="shared" si="161"/>
        <v/>
      </c>
      <c r="DP210" s="499" t="str">
        <f t="shared" si="161"/>
        <v/>
      </c>
      <c r="DQ210" s="499" t="str">
        <f t="shared" si="161"/>
        <v/>
      </c>
      <c r="DR210" s="499" t="str">
        <f t="shared" si="161"/>
        <v/>
      </c>
      <c r="DS210" s="499" t="str">
        <f t="shared" si="161"/>
        <v/>
      </c>
      <c r="DT210" s="499">
        <f t="shared" si="161"/>
        <v>142538</v>
      </c>
      <c r="DU210" s="499" t="str">
        <f t="shared" si="161"/>
        <v/>
      </c>
      <c r="DV210" s="499" t="str">
        <f t="shared" si="161"/>
        <v/>
      </c>
      <c r="DW210" s="499">
        <f t="shared" si="161"/>
        <v>17617323.25</v>
      </c>
      <c r="DX210" s="499" t="str">
        <f t="shared" si="161"/>
        <v/>
      </c>
      <c r="DY210" s="499" t="str">
        <f t="shared" si="161"/>
        <v/>
      </c>
      <c r="DZ210" s="499">
        <f t="shared" si="161"/>
        <v>31280</v>
      </c>
      <c r="EA210" s="499" t="str">
        <f t="shared" ref="EA210:EI210" si="162">IF(EA170=1, EA$152/EA$156, "")</f>
        <v/>
      </c>
      <c r="EB210" s="499" t="str">
        <f t="shared" si="162"/>
        <v/>
      </c>
      <c r="EC210" s="499" t="str">
        <f t="shared" si="162"/>
        <v/>
      </c>
      <c r="ED210" s="499" t="str">
        <f t="shared" si="162"/>
        <v/>
      </c>
      <c r="EE210" s="499">
        <f t="shared" si="162"/>
        <v>2612500</v>
      </c>
      <c r="EF210" s="499" t="str">
        <f t="shared" si="162"/>
        <v/>
      </c>
      <c r="EG210" s="499">
        <f t="shared" si="162"/>
        <v>77450</v>
      </c>
      <c r="EH210" s="499">
        <f t="shared" si="162"/>
        <v>186292.5</v>
      </c>
      <c r="EI210" s="499">
        <f t="shared" si="162"/>
        <v>44272.727272727272</v>
      </c>
      <c r="EJ210" s="499">
        <f t="shared" si="107"/>
        <v>30167900.090118878</v>
      </c>
      <c r="EK210" s="67"/>
      <c r="EL210" s="67"/>
      <c r="EM210" s="67"/>
      <c r="EN210" s="67"/>
      <c r="EO210" s="67"/>
      <c r="EP210" s="67"/>
      <c r="EQ210" s="67"/>
      <c r="ER210" s="67"/>
      <c r="ES210" s="67"/>
      <c r="ET210" s="67"/>
      <c r="EU210" s="67"/>
      <c r="EV210" s="67"/>
      <c r="EW210" s="67"/>
      <c r="EX210" s="67"/>
      <c r="EY210" s="67"/>
      <c r="EZ210" s="67"/>
    </row>
    <row r="211" spans="1:156">
      <c r="B211" s="500" t="s">
        <v>101</v>
      </c>
      <c r="C211" s="499" t="str">
        <f t="shared" ref="C211:AH211" si="163">IF(C171=1, C$152/C$156, "")</f>
        <v/>
      </c>
      <c r="D211" s="499" t="str">
        <f t="shared" si="163"/>
        <v/>
      </c>
      <c r="E211" s="499" t="str">
        <f t="shared" si="163"/>
        <v/>
      </c>
      <c r="F211" s="499" t="str">
        <f t="shared" si="163"/>
        <v/>
      </c>
      <c r="G211" s="499" t="str">
        <f t="shared" si="163"/>
        <v/>
      </c>
      <c r="H211" s="499">
        <f t="shared" si="163"/>
        <v>17291.6875</v>
      </c>
      <c r="I211" s="499" t="str">
        <f t="shared" si="163"/>
        <v/>
      </c>
      <c r="J211" s="499" t="str">
        <f t="shared" si="163"/>
        <v/>
      </c>
      <c r="K211" s="499" t="str">
        <f t="shared" si="163"/>
        <v/>
      </c>
      <c r="L211" s="499" t="str">
        <f t="shared" si="163"/>
        <v/>
      </c>
      <c r="M211" s="499" t="str">
        <f t="shared" si="163"/>
        <v/>
      </c>
      <c r="N211" s="499" t="str">
        <f t="shared" si="163"/>
        <v/>
      </c>
      <c r="O211" s="499" t="str">
        <f t="shared" si="163"/>
        <v/>
      </c>
      <c r="P211" s="499" t="str">
        <f t="shared" si="163"/>
        <v/>
      </c>
      <c r="Q211" s="499" t="str">
        <f t="shared" si="163"/>
        <v/>
      </c>
      <c r="R211" s="499" t="str">
        <f t="shared" si="163"/>
        <v/>
      </c>
      <c r="S211" s="499">
        <f t="shared" si="163"/>
        <v>378868.80199999997</v>
      </c>
      <c r="T211" s="499" t="str">
        <f t="shared" si="163"/>
        <v/>
      </c>
      <c r="U211" s="499">
        <f t="shared" si="163"/>
        <v>155350</v>
      </c>
      <c r="V211" s="499" t="str">
        <f t="shared" si="163"/>
        <v/>
      </c>
      <c r="W211" s="499" t="str">
        <f t="shared" si="163"/>
        <v/>
      </c>
      <c r="X211" s="499">
        <f t="shared" si="163"/>
        <v>1972167.5</v>
      </c>
      <c r="Y211" s="499" t="str">
        <f t="shared" si="163"/>
        <v/>
      </c>
      <c r="Z211" s="499">
        <f t="shared" si="163"/>
        <v>1666.6666666666667</v>
      </c>
      <c r="AA211" s="499" t="str">
        <f t="shared" si="163"/>
        <v/>
      </c>
      <c r="AB211" s="499" t="str">
        <f t="shared" si="163"/>
        <v/>
      </c>
      <c r="AC211" s="499" t="str">
        <f t="shared" si="163"/>
        <v/>
      </c>
      <c r="AD211" s="499">
        <f t="shared" si="163"/>
        <v>218950</v>
      </c>
      <c r="AE211" s="499" t="str">
        <f t="shared" si="163"/>
        <v/>
      </c>
      <c r="AF211" s="499" t="str">
        <f t="shared" si="163"/>
        <v/>
      </c>
      <c r="AG211" s="499">
        <f t="shared" si="163"/>
        <v>170137.5</v>
      </c>
      <c r="AH211" s="499">
        <f t="shared" si="163"/>
        <v>0</v>
      </c>
      <c r="AI211" s="499">
        <f t="shared" ref="AI211:BN211" si="164">IF(AI171=1, AI$152/AI$156, "")</f>
        <v>0</v>
      </c>
      <c r="AJ211" s="499" t="str">
        <f t="shared" si="164"/>
        <v/>
      </c>
      <c r="AK211" s="499">
        <f t="shared" si="164"/>
        <v>304189.51400000002</v>
      </c>
      <c r="AL211" s="499" t="str">
        <f t="shared" si="164"/>
        <v/>
      </c>
      <c r="AM211" s="499">
        <f t="shared" si="164"/>
        <v>118941.33333333342</v>
      </c>
      <c r="AN211" s="499" t="str">
        <f t="shared" si="164"/>
        <v/>
      </c>
      <c r="AO211" s="499" t="str">
        <f t="shared" si="164"/>
        <v/>
      </c>
      <c r="AP211" s="499" t="str">
        <f t="shared" si="164"/>
        <v/>
      </c>
      <c r="AQ211" s="499" t="str">
        <f t="shared" si="164"/>
        <v/>
      </c>
      <c r="AR211" s="499" t="str">
        <f t="shared" si="164"/>
        <v/>
      </c>
      <c r="AS211" s="499" t="str">
        <f t="shared" si="164"/>
        <v/>
      </c>
      <c r="AT211" s="499">
        <f t="shared" si="164"/>
        <v>3115</v>
      </c>
      <c r="AU211" s="499" t="str">
        <f t="shared" si="164"/>
        <v/>
      </c>
      <c r="AV211" s="499" t="str">
        <f t="shared" si="164"/>
        <v/>
      </c>
      <c r="AW211" s="499" t="str">
        <f t="shared" si="164"/>
        <v/>
      </c>
      <c r="AX211" s="499" t="str">
        <f t="shared" si="164"/>
        <v/>
      </c>
      <c r="AY211" s="499">
        <f t="shared" si="164"/>
        <v>203632.5625</v>
      </c>
      <c r="AZ211" s="499" t="str">
        <f t="shared" si="164"/>
        <v/>
      </c>
      <c r="BA211" s="499">
        <f t="shared" si="164"/>
        <v>4107.1428571428569</v>
      </c>
      <c r="BB211" s="499">
        <f t="shared" si="164"/>
        <v>28478.4375</v>
      </c>
      <c r="BC211" s="499">
        <f t="shared" si="164"/>
        <v>316637.30769230769</v>
      </c>
      <c r="BD211" s="499">
        <f t="shared" si="164"/>
        <v>258987.85714285713</v>
      </c>
      <c r="BE211" s="499" t="str">
        <f t="shared" si="164"/>
        <v/>
      </c>
      <c r="BF211" s="499" t="str">
        <f t="shared" si="164"/>
        <v/>
      </c>
      <c r="BG211" s="499" t="str">
        <f t="shared" si="164"/>
        <v/>
      </c>
      <c r="BH211" s="499" t="str">
        <f t="shared" si="164"/>
        <v/>
      </c>
      <c r="BI211" s="499" t="str">
        <f t="shared" si="164"/>
        <v/>
      </c>
      <c r="BJ211" s="499" t="str">
        <f t="shared" si="164"/>
        <v/>
      </c>
      <c r="BK211" s="499" t="str">
        <f t="shared" si="164"/>
        <v/>
      </c>
      <c r="BL211" s="499">
        <f t="shared" si="164"/>
        <v>909167</v>
      </c>
      <c r="BM211" s="499" t="str">
        <f t="shared" si="164"/>
        <v/>
      </c>
      <c r="BN211" s="499">
        <f t="shared" si="164"/>
        <v>0</v>
      </c>
      <c r="BO211" s="499">
        <f t="shared" ref="BO211:CT211" si="165">IF(BO171=1, BO$152/BO$156, "")</f>
        <v>92290</v>
      </c>
      <c r="BP211" s="499">
        <f t="shared" si="165"/>
        <v>187975</v>
      </c>
      <c r="BQ211" s="499" t="str">
        <f t="shared" si="165"/>
        <v/>
      </c>
      <c r="BR211" s="499" t="str">
        <f t="shared" si="165"/>
        <v/>
      </c>
      <c r="BS211" s="499" t="str">
        <f t="shared" si="165"/>
        <v/>
      </c>
      <c r="BT211" s="499" t="str">
        <f t="shared" si="165"/>
        <v/>
      </c>
      <c r="BU211" s="499">
        <f t="shared" si="165"/>
        <v>0</v>
      </c>
      <c r="BV211" s="499" t="str">
        <f t="shared" si="165"/>
        <v/>
      </c>
      <c r="BW211" s="499">
        <f t="shared" si="165"/>
        <v>0</v>
      </c>
      <c r="BX211" s="499">
        <f t="shared" si="165"/>
        <v>2036023</v>
      </c>
      <c r="BY211" s="499" t="str">
        <f t="shared" si="165"/>
        <v/>
      </c>
      <c r="BZ211" s="499" t="str">
        <f t="shared" si="165"/>
        <v/>
      </c>
      <c r="CA211" s="499" t="str">
        <f t="shared" si="165"/>
        <v/>
      </c>
      <c r="CB211" s="499" t="str">
        <f t="shared" si="165"/>
        <v/>
      </c>
      <c r="CC211" s="499">
        <f t="shared" si="165"/>
        <v>4141.9333333333334</v>
      </c>
      <c r="CD211" s="499" t="str">
        <f t="shared" si="165"/>
        <v/>
      </c>
      <c r="CE211" s="499">
        <f t="shared" si="165"/>
        <v>264350</v>
      </c>
      <c r="CF211" s="499">
        <f t="shared" si="165"/>
        <v>2980.7142857142858</v>
      </c>
      <c r="CG211" s="499">
        <f t="shared" si="165"/>
        <v>1445743.3333333333</v>
      </c>
      <c r="CH211" s="499" t="str">
        <f t="shared" si="165"/>
        <v/>
      </c>
      <c r="CI211" s="499" t="str">
        <f t="shared" si="165"/>
        <v/>
      </c>
      <c r="CJ211" s="499" t="str">
        <f t="shared" si="165"/>
        <v/>
      </c>
      <c r="CK211" s="499">
        <f t="shared" si="165"/>
        <v>363969</v>
      </c>
      <c r="CL211" s="499" t="str">
        <f t="shared" si="165"/>
        <v/>
      </c>
      <c r="CM211" s="499" t="str">
        <f t="shared" si="165"/>
        <v/>
      </c>
      <c r="CN211" s="499">
        <f t="shared" si="165"/>
        <v>1139875</v>
      </c>
      <c r="CO211" s="499">
        <f t="shared" si="165"/>
        <v>5000</v>
      </c>
      <c r="CP211" s="499" t="str">
        <f t="shared" si="165"/>
        <v/>
      </c>
      <c r="CQ211" s="499" t="str">
        <f t="shared" si="165"/>
        <v/>
      </c>
      <c r="CR211" s="499" t="str">
        <f t="shared" si="165"/>
        <v/>
      </c>
      <c r="CS211" s="499" t="str">
        <f t="shared" si="165"/>
        <v/>
      </c>
      <c r="CT211" s="499" t="str">
        <f t="shared" si="165"/>
        <v/>
      </c>
      <c r="CU211" s="499" t="str">
        <f t="shared" ref="CU211:DZ211" si="166">IF(CU171=1, CU$152/CU$156, "")</f>
        <v/>
      </c>
      <c r="CV211" s="499">
        <f t="shared" si="166"/>
        <v>7821</v>
      </c>
      <c r="CW211" s="499">
        <f t="shared" si="166"/>
        <v>580269.25</v>
      </c>
      <c r="CX211" s="499" t="str">
        <f t="shared" si="166"/>
        <v/>
      </c>
      <c r="CY211" s="499" t="str">
        <f t="shared" si="166"/>
        <v/>
      </c>
      <c r="CZ211" s="499" t="str">
        <f t="shared" si="166"/>
        <v/>
      </c>
      <c r="DA211" s="499" t="str">
        <f t="shared" si="166"/>
        <v/>
      </c>
      <c r="DB211" s="499">
        <f t="shared" si="166"/>
        <v>1991.6666666666667</v>
      </c>
      <c r="DC211" s="499">
        <f t="shared" si="166"/>
        <v>275823.3125</v>
      </c>
      <c r="DD211" s="499" t="str">
        <f t="shared" si="166"/>
        <v/>
      </c>
      <c r="DE211" s="499">
        <f t="shared" si="166"/>
        <v>570383.32615384622</v>
      </c>
      <c r="DF211" s="499" t="str">
        <f t="shared" si="166"/>
        <v/>
      </c>
      <c r="DG211" s="499" t="str">
        <f t="shared" si="166"/>
        <v/>
      </c>
      <c r="DH211" s="499" t="str">
        <f t="shared" si="166"/>
        <v/>
      </c>
      <c r="DI211" s="499">
        <f t="shared" si="166"/>
        <v>0</v>
      </c>
      <c r="DJ211" s="499" t="str">
        <f t="shared" si="166"/>
        <v/>
      </c>
      <c r="DK211" s="499">
        <f t="shared" si="166"/>
        <v>250</v>
      </c>
      <c r="DL211" s="499" t="str">
        <f t="shared" si="166"/>
        <v/>
      </c>
      <c r="DM211" s="499" t="str">
        <f t="shared" si="166"/>
        <v/>
      </c>
      <c r="DN211" s="499" t="str">
        <f t="shared" si="166"/>
        <v/>
      </c>
      <c r="DO211" s="499" t="str">
        <f t="shared" si="166"/>
        <v/>
      </c>
      <c r="DP211" s="499" t="str">
        <f t="shared" si="166"/>
        <v/>
      </c>
      <c r="DQ211" s="499" t="str">
        <f t="shared" si="166"/>
        <v/>
      </c>
      <c r="DR211" s="499" t="str">
        <f t="shared" si="166"/>
        <v/>
      </c>
      <c r="DS211" s="499" t="str">
        <f t="shared" si="166"/>
        <v/>
      </c>
      <c r="DT211" s="499">
        <f t="shared" si="166"/>
        <v>142538</v>
      </c>
      <c r="DU211" s="499" t="str">
        <f t="shared" si="166"/>
        <v/>
      </c>
      <c r="DV211" s="499" t="str">
        <f t="shared" si="166"/>
        <v/>
      </c>
      <c r="DW211" s="499">
        <f t="shared" si="166"/>
        <v>17617323.25</v>
      </c>
      <c r="DX211" s="499" t="str">
        <f t="shared" si="166"/>
        <v/>
      </c>
      <c r="DY211" s="499">
        <f t="shared" si="166"/>
        <v>0</v>
      </c>
      <c r="DZ211" s="499">
        <f t="shared" si="166"/>
        <v>31280</v>
      </c>
      <c r="EA211" s="499" t="str">
        <f t="shared" ref="EA211:EI211" si="167">IF(EA171=1, EA$152/EA$156, "")</f>
        <v/>
      </c>
      <c r="EB211" s="499" t="str">
        <f t="shared" si="167"/>
        <v/>
      </c>
      <c r="EC211" s="499" t="str">
        <f t="shared" si="167"/>
        <v/>
      </c>
      <c r="ED211" s="499" t="str">
        <f t="shared" si="167"/>
        <v/>
      </c>
      <c r="EE211" s="499">
        <f t="shared" si="167"/>
        <v>2612500</v>
      </c>
      <c r="EF211" s="499" t="str">
        <f t="shared" si="167"/>
        <v/>
      </c>
      <c r="EG211" s="499">
        <f t="shared" si="167"/>
        <v>77450</v>
      </c>
      <c r="EH211" s="499">
        <f t="shared" si="167"/>
        <v>186292.5</v>
      </c>
      <c r="EI211" s="499">
        <f t="shared" si="167"/>
        <v>44272.727272727272</v>
      </c>
      <c r="EJ211" s="499">
        <f t="shared" si="107"/>
        <v>32752231.324737929</v>
      </c>
      <c r="EK211" s="67"/>
      <c r="EL211" s="67"/>
      <c r="EM211" s="67"/>
      <c r="EN211" s="67"/>
      <c r="EO211" s="67"/>
      <c r="EP211" s="67"/>
      <c r="EQ211" s="67"/>
      <c r="ER211" s="67"/>
      <c r="ES211" s="67"/>
      <c r="ET211" s="67"/>
      <c r="EU211" s="67"/>
      <c r="EV211" s="67"/>
      <c r="EW211" s="67"/>
      <c r="EX211" s="67"/>
      <c r="EY211" s="67"/>
      <c r="EZ211" s="67"/>
    </row>
    <row r="212" spans="1:156">
      <c r="B212" s="500" t="s">
        <v>90</v>
      </c>
      <c r="C212" s="499" t="str">
        <f t="shared" ref="C212:AH212" si="168">IF(C172=1, C$152/C$156, "")</f>
        <v/>
      </c>
      <c r="D212" s="499" t="str">
        <f t="shared" si="168"/>
        <v/>
      </c>
      <c r="E212" s="499" t="str">
        <f t="shared" si="168"/>
        <v/>
      </c>
      <c r="F212" s="499" t="str">
        <f t="shared" si="168"/>
        <v/>
      </c>
      <c r="G212" s="499" t="str">
        <f t="shared" si="168"/>
        <v/>
      </c>
      <c r="H212" s="499">
        <f t="shared" si="168"/>
        <v>17291.6875</v>
      </c>
      <c r="I212" s="499" t="str">
        <f t="shared" si="168"/>
        <v/>
      </c>
      <c r="J212" s="499" t="str">
        <f t="shared" si="168"/>
        <v/>
      </c>
      <c r="K212" s="499" t="str">
        <f t="shared" si="168"/>
        <v/>
      </c>
      <c r="L212" s="499" t="str">
        <f t="shared" si="168"/>
        <v/>
      </c>
      <c r="M212" s="499" t="str">
        <f t="shared" si="168"/>
        <v/>
      </c>
      <c r="N212" s="499" t="str">
        <f t="shared" si="168"/>
        <v/>
      </c>
      <c r="O212" s="499" t="str">
        <f t="shared" si="168"/>
        <v/>
      </c>
      <c r="P212" s="499" t="str">
        <f t="shared" si="168"/>
        <v/>
      </c>
      <c r="Q212" s="499" t="str">
        <f t="shared" si="168"/>
        <v/>
      </c>
      <c r="R212" s="499" t="str">
        <f t="shared" si="168"/>
        <v/>
      </c>
      <c r="S212" s="499">
        <f t="shared" si="168"/>
        <v>378868.80199999997</v>
      </c>
      <c r="T212" s="499" t="str">
        <f t="shared" si="168"/>
        <v/>
      </c>
      <c r="U212" s="499" t="str">
        <f t="shared" si="168"/>
        <v/>
      </c>
      <c r="V212" s="499" t="str">
        <f t="shared" si="168"/>
        <v/>
      </c>
      <c r="W212" s="499" t="str">
        <f t="shared" si="168"/>
        <v/>
      </c>
      <c r="X212" s="499">
        <f t="shared" si="168"/>
        <v>1972167.5</v>
      </c>
      <c r="Y212" s="499" t="str">
        <f t="shared" si="168"/>
        <v/>
      </c>
      <c r="Z212" s="499">
        <f t="shared" si="168"/>
        <v>1666.6666666666667</v>
      </c>
      <c r="AA212" s="499">
        <f t="shared" si="168"/>
        <v>396216.66666666669</v>
      </c>
      <c r="AB212" s="499" t="str">
        <f t="shared" si="168"/>
        <v/>
      </c>
      <c r="AC212" s="499" t="str">
        <f t="shared" si="168"/>
        <v/>
      </c>
      <c r="AD212" s="499" t="str">
        <f t="shared" si="168"/>
        <v/>
      </c>
      <c r="AE212" s="499" t="str">
        <f t="shared" si="168"/>
        <v/>
      </c>
      <c r="AF212" s="499" t="str">
        <f t="shared" si="168"/>
        <v/>
      </c>
      <c r="AG212" s="499" t="str">
        <f t="shared" si="168"/>
        <v/>
      </c>
      <c r="AH212" s="499">
        <f t="shared" si="168"/>
        <v>0</v>
      </c>
      <c r="AI212" s="499" t="str">
        <f t="shared" ref="AI212:BN212" si="169">IF(AI172=1, AI$152/AI$156, "")</f>
        <v/>
      </c>
      <c r="AJ212" s="499" t="str">
        <f t="shared" si="169"/>
        <v/>
      </c>
      <c r="AK212" s="499">
        <f t="shared" si="169"/>
        <v>304189.51400000002</v>
      </c>
      <c r="AL212" s="499" t="str">
        <f t="shared" si="169"/>
        <v/>
      </c>
      <c r="AM212" s="499">
        <f t="shared" si="169"/>
        <v>118941.33333333342</v>
      </c>
      <c r="AN212" s="499" t="str">
        <f t="shared" si="169"/>
        <v/>
      </c>
      <c r="AO212" s="499" t="str">
        <f t="shared" si="169"/>
        <v/>
      </c>
      <c r="AP212" s="499" t="str">
        <f t="shared" si="169"/>
        <v/>
      </c>
      <c r="AQ212" s="499" t="str">
        <f t="shared" si="169"/>
        <v/>
      </c>
      <c r="AR212" s="499">
        <f t="shared" si="169"/>
        <v>33333.333333333336</v>
      </c>
      <c r="AS212" s="499" t="str">
        <f t="shared" si="169"/>
        <v/>
      </c>
      <c r="AT212" s="499" t="str">
        <f t="shared" si="169"/>
        <v/>
      </c>
      <c r="AU212" s="499" t="str">
        <f t="shared" si="169"/>
        <v/>
      </c>
      <c r="AV212" s="499">
        <f t="shared" si="169"/>
        <v>373.5</v>
      </c>
      <c r="AW212" s="499" t="str">
        <f t="shared" si="169"/>
        <v/>
      </c>
      <c r="AX212" s="499">
        <f t="shared" si="169"/>
        <v>0</v>
      </c>
      <c r="AY212" s="499">
        <f t="shared" si="169"/>
        <v>203632.5625</v>
      </c>
      <c r="AZ212" s="499">
        <f t="shared" si="169"/>
        <v>45282.285714285717</v>
      </c>
      <c r="BA212" s="499">
        <f t="shared" si="169"/>
        <v>4107.1428571428569</v>
      </c>
      <c r="BB212" s="499">
        <f t="shared" si="169"/>
        <v>28478.4375</v>
      </c>
      <c r="BC212" s="499">
        <f t="shared" si="169"/>
        <v>316637.30769230769</v>
      </c>
      <c r="BD212" s="499" t="str">
        <f t="shared" si="169"/>
        <v/>
      </c>
      <c r="BE212" s="499" t="str">
        <f t="shared" si="169"/>
        <v/>
      </c>
      <c r="BF212" s="499" t="str">
        <f t="shared" si="169"/>
        <v/>
      </c>
      <c r="BG212" s="499" t="str">
        <f t="shared" si="169"/>
        <v/>
      </c>
      <c r="BH212" s="499" t="str">
        <f t="shared" si="169"/>
        <v/>
      </c>
      <c r="BI212" s="499" t="str">
        <f t="shared" si="169"/>
        <v/>
      </c>
      <c r="BJ212" s="499" t="str">
        <f t="shared" si="169"/>
        <v/>
      </c>
      <c r="BK212" s="499" t="str">
        <f t="shared" si="169"/>
        <v/>
      </c>
      <c r="BL212" s="499" t="str">
        <f t="shared" si="169"/>
        <v/>
      </c>
      <c r="BM212" s="499" t="str">
        <f t="shared" si="169"/>
        <v/>
      </c>
      <c r="BN212" s="499">
        <f t="shared" si="169"/>
        <v>0</v>
      </c>
      <c r="BO212" s="499" t="str">
        <f t="shared" ref="BO212:CT212" si="170">IF(BO172=1, BO$152/BO$156, "")</f>
        <v/>
      </c>
      <c r="BP212" s="499">
        <f t="shared" si="170"/>
        <v>187975</v>
      </c>
      <c r="BQ212" s="499" t="str">
        <f t="shared" si="170"/>
        <v/>
      </c>
      <c r="BR212" s="499" t="str">
        <f t="shared" si="170"/>
        <v/>
      </c>
      <c r="BS212" s="499" t="str">
        <f t="shared" si="170"/>
        <v/>
      </c>
      <c r="BT212" s="499" t="str">
        <f t="shared" si="170"/>
        <v/>
      </c>
      <c r="BU212" s="499">
        <f t="shared" si="170"/>
        <v>0</v>
      </c>
      <c r="BV212" s="499" t="str">
        <f t="shared" si="170"/>
        <v/>
      </c>
      <c r="BW212" s="499" t="str">
        <f t="shared" si="170"/>
        <v/>
      </c>
      <c r="BX212" s="499" t="str">
        <f t="shared" si="170"/>
        <v/>
      </c>
      <c r="BY212" s="499" t="str">
        <f t="shared" si="170"/>
        <v/>
      </c>
      <c r="BZ212" s="499" t="str">
        <f t="shared" si="170"/>
        <v/>
      </c>
      <c r="CA212" s="499" t="str">
        <f t="shared" si="170"/>
        <v/>
      </c>
      <c r="CB212" s="499" t="str">
        <f t="shared" si="170"/>
        <v/>
      </c>
      <c r="CC212" s="499">
        <f t="shared" si="170"/>
        <v>4141.9333333333334</v>
      </c>
      <c r="CD212" s="499" t="str">
        <f t="shared" si="170"/>
        <v/>
      </c>
      <c r="CE212" s="499" t="str">
        <f t="shared" si="170"/>
        <v/>
      </c>
      <c r="CF212" s="499">
        <f t="shared" si="170"/>
        <v>2980.7142857142858</v>
      </c>
      <c r="CG212" s="499" t="str">
        <f t="shared" si="170"/>
        <v/>
      </c>
      <c r="CH212" s="499" t="str">
        <f t="shared" si="170"/>
        <v/>
      </c>
      <c r="CI212" s="499" t="str">
        <f t="shared" si="170"/>
        <v/>
      </c>
      <c r="CJ212" s="499" t="str">
        <f t="shared" si="170"/>
        <v/>
      </c>
      <c r="CK212" s="499">
        <f t="shared" si="170"/>
        <v>363969</v>
      </c>
      <c r="CL212" s="499" t="str">
        <f t="shared" si="170"/>
        <v/>
      </c>
      <c r="CM212" s="499" t="str">
        <f t="shared" si="170"/>
        <v/>
      </c>
      <c r="CN212" s="499" t="str">
        <f t="shared" si="170"/>
        <v/>
      </c>
      <c r="CO212" s="499">
        <f t="shared" si="170"/>
        <v>5000</v>
      </c>
      <c r="CP212" s="499" t="str">
        <f t="shared" si="170"/>
        <v/>
      </c>
      <c r="CQ212" s="499" t="str">
        <f t="shared" si="170"/>
        <v/>
      </c>
      <c r="CR212" s="499" t="str">
        <f t="shared" si="170"/>
        <v/>
      </c>
      <c r="CS212" s="499" t="str">
        <f t="shared" si="170"/>
        <v/>
      </c>
      <c r="CT212" s="499" t="str">
        <f t="shared" si="170"/>
        <v/>
      </c>
      <c r="CU212" s="499" t="str">
        <f t="shared" ref="CU212:DZ212" si="171">IF(CU172=1, CU$152/CU$156, "")</f>
        <v/>
      </c>
      <c r="CV212" s="499" t="str">
        <f t="shared" si="171"/>
        <v/>
      </c>
      <c r="CW212" s="499">
        <f t="shared" si="171"/>
        <v>580269.25</v>
      </c>
      <c r="CX212" s="499" t="str">
        <f t="shared" si="171"/>
        <v/>
      </c>
      <c r="CY212" s="499" t="str">
        <f t="shared" si="171"/>
        <v/>
      </c>
      <c r="CZ212" s="499" t="str">
        <f t="shared" si="171"/>
        <v/>
      </c>
      <c r="DA212" s="499" t="str">
        <f t="shared" si="171"/>
        <v/>
      </c>
      <c r="DB212" s="499">
        <f t="shared" si="171"/>
        <v>1991.6666666666667</v>
      </c>
      <c r="DC212" s="499">
        <f t="shared" si="171"/>
        <v>275823.3125</v>
      </c>
      <c r="DD212" s="499" t="str">
        <f t="shared" si="171"/>
        <v/>
      </c>
      <c r="DE212" s="499">
        <f t="shared" si="171"/>
        <v>570383.32615384622</v>
      </c>
      <c r="DF212" s="499" t="str">
        <f t="shared" si="171"/>
        <v/>
      </c>
      <c r="DG212" s="499">
        <f t="shared" si="171"/>
        <v>746651.66666666663</v>
      </c>
      <c r="DH212" s="499" t="str">
        <f t="shared" si="171"/>
        <v/>
      </c>
      <c r="DI212" s="499">
        <f t="shared" si="171"/>
        <v>0</v>
      </c>
      <c r="DJ212" s="499" t="str">
        <f t="shared" si="171"/>
        <v/>
      </c>
      <c r="DK212" s="499">
        <f t="shared" si="171"/>
        <v>250</v>
      </c>
      <c r="DL212" s="499" t="str">
        <f t="shared" si="171"/>
        <v/>
      </c>
      <c r="DM212" s="499" t="str">
        <f t="shared" si="171"/>
        <v/>
      </c>
      <c r="DN212" s="499" t="str">
        <f t="shared" si="171"/>
        <v/>
      </c>
      <c r="DO212" s="499" t="str">
        <f t="shared" si="171"/>
        <v/>
      </c>
      <c r="DP212" s="499" t="str">
        <f t="shared" si="171"/>
        <v/>
      </c>
      <c r="DQ212" s="499" t="str">
        <f t="shared" si="171"/>
        <v/>
      </c>
      <c r="DR212" s="499" t="str">
        <f t="shared" si="171"/>
        <v/>
      </c>
      <c r="DS212" s="499" t="str">
        <f t="shared" si="171"/>
        <v/>
      </c>
      <c r="DT212" s="499">
        <f t="shared" si="171"/>
        <v>142538</v>
      </c>
      <c r="DU212" s="499" t="str">
        <f t="shared" si="171"/>
        <v/>
      </c>
      <c r="DV212" s="499" t="str">
        <f t="shared" si="171"/>
        <v/>
      </c>
      <c r="DW212" s="499">
        <f t="shared" si="171"/>
        <v>17617323.25</v>
      </c>
      <c r="DX212" s="499" t="str">
        <f t="shared" si="171"/>
        <v/>
      </c>
      <c r="DY212" s="499" t="str">
        <f t="shared" si="171"/>
        <v/>
      </c>
      <c r="DZ212" s="499" t="str">
        <f t="shared" si="171"/>
        <v/>
      </c>
      <c r="EA212" s="499" t="str">
        <f t="shared" ref="EA212:EI212" si="172">IF(EA172=1, EA$152/EA$156, "")</f>
        <v/>
      </c>
      <c r="EB212" s="499" t="str">
        <f t="shared" si="172"/>
        <v/>
      </c>
      <c r="EC212" s="499" t="str">
        <f t="shared" si="172"/>
        <v/>
      </c>
      <c r="ED212" s="499" t="str">
        <f t="shared" si="172"/>
        <v/>
      </c>
      <c r="EE212" s="499">
        <f t="shared" si="172"/>
        <v>2612500</v>
      </c>
      <c r="EF212" s="499" t="str">
        <f t="shared" si="172"/>
        <v/>
      </c>
      <c r="EG212" s="499">
        <f t="shared" si="172"/>
        <v>77450</v>
      </c>
      <c r="EH212" s="499">
        <f t="shared" si="172"/>
        <v>186292.5</v>
      </c>
      <c r="EI212" s="499">
        <f t="shared" si="172"/>
        <v>44272.727272727272</v>
      </c>
      <c r="EJ212" s="499">
        <f t="shared" si="107"/>
        <v>27240999.08664269</v>
      </c>
      <c r="EK212" s="67"/>
      <c r="EL212" s="67"/>
      <c r="EM212" s="67"/>
      <c r="EN212" s="67"/>
      <c r="EO212" s="67"/>
      <c r="EP212" s="67"/>
      <c r="EQ212" s="67"/>
      <c r="ER212" s="67"/>
      <c r="ES212" s="67"/>
      <c r="ET212" s="67"/>
      <c r="EU212" s="67"/>
      <c r="EV212" s="67"/>
      <c r="EW212" s="67"/>
      <c r="EX212" s="67"/>
      <c r="EY212" s="67"/>
      <c r="EZ212" s="67"/>
    </row>
    <row r="213" spans="1:156">
      <c r="B213" s="500" t="s">
        <v>137</v>
      </c>
      <c r="C213" s="499" t="str">
        <f t="shared" ref="C213:AH213" si="173">IF(C173=1, C$152/C$156, "")</f>
        <v/>
      </c>
      <c r="D213" s="499">
        <f t="shared" si="173"/>
        <v>68070</v>
      </c>
      <c r="E213" s="499">
        <f t="shared" si="173"/>
        <v>243125</v>
      </c>
      <c r="F213" s="499">
        <f t="shared" si="173"/>
        <v>822.66666666666663</v>
      </c>
      <c r="G213" s="499" t="str">
        <f t="shared" si="173"/>
        <v/>
      </c>
      <c r="H213" s="499">
        <f t="shared" si="173"/>
        <v>17291.6875</v>
      </c>
      <c r="I213" s="499">
        <f t="shared" si="173"/>
        <v>53537.666666666664</v>
      </c>
      <c r="J213" s="499">
        <f t="shared" si="173"/>
        <v>68873.333333333328</v>
      </c>
      <c r="K213" s="499" t="str">
        <f t="shared" si="173"/>
        <v/>
      </c>
      <c r="L213" s="499" t="str">
        <f t="shared" si="173"/>
        <v/>
      </c>
      <c r="M213" s="499">
        <f t="shared" si="173"/>
        <v>292666.5</v>
      </c>
      <c r="N213" s="499" t="str">
        <f t="shared" si="173"/>
        <v/>
      </c>
      <c r="O213" s="499" t="str">
        <f t="shared" si="173"/>
        <v/>
      </c>
      <c r="P213" s="499" t="str">
        <f t="shared" si="173"/>
        <v/>
      </c>
      <c r="Q213" s="499" t="str">
        <f t="shared" si="173"/>
        <v/>
      </c>
      <c r="R213" s="499" t="str">
        <f t="shared" si="173"/>
        <v/>
      </c>
      <c r="S213" s="499" t="str">
        <f t="shared" si="173"/>
        <v/>
      </c>
      <c r="T213" s="499" t="str">
        <f t="shared" si="173"/>
        <v/>
      </c>
      <c r="U213" s="499" t="str">
        <f t="shared" si="173"/>
        <v/>
      </c>
      <c r="V213" s="499" t="str">
        <f t="shared" si="173"/>
        <v/>
      </c>
      <c r="W213" s="499" t="str">
        <f t="shared" si="173"/>
        <v/>
      </c>
      <c r="X213" s="499">
        <f t="shared" si="173"/>
        <v>1972167.5</v>
      </c>
      <c r="Y213" s="499">
        <f t="shared" si="173"/>
        <v>9889.6666666666661</v>
      </c>
      <c r="Z213" s="499" t="str">
        <f t="shared" si="173"/>
        <v/>
      </c>
      <c r="AA213" s="499" t="str">
        <f t="shared" si="173"/>
        <v/>
      </c>
      <c r="AB213" s="499" t="str">
        <f t="shared" si="173"/>
        <v/>
      </c>
      <c r="AC213" s="499" t="str">
        <f t="shared" si="173"/>
        <v/>
      </c>
      <c r="AD213" s="499" t="str">
        <f t="shared" si="173"/>
        <v/>
      </c>
      <c r="AE213" s="499" t="str">
        <f t="shared" si="173"/>
        <v/>
      </c>
      <c r="AF213" s="499" t="str">
        <f t="shared" si="173"/>
        <v/>
      </c>
      <c r="AG213" s="499" t="str">
        <f t="shared" si="173"/>
        <v/>
      </c>
      <c r="AH213" s="499">
        <f t="shared" si="173"/>
        <v>0</v>
      </c>
      <c r="AI213" s="499" t="str">
        <f t="shared" ref="AI213:BN213" si="174">IF(AI173=1, AI$152/AI$156, "")</f>
        <v/>
      </c>
      <c r="AJ213" s="499">
        <f t="shared" si="174"/>
        <v>406310.09428571432</v>
      </c>
      <c r="AK213" s="499" t="str">
        <f t="shared" si="174"/>
        <v/>
      </c>
      <c r="AL213" s="499" t="str">
        <f t="shared" si="174"/>
        <v/>
      </c>
      <c r="AM213" s="499" t="str">
        <f t="shared" si="174"/>
        <v/>
      </c>
      <c r="AN213" s="499">
        <f t="shared" si="174"/>
        <v>84958.095714285722</v>
      </c>
      <c r="AO213" s="499" t="str">
        <f t="shared" si="174"/>
        <v/>
      </c>
      <c r="AP213" s="499" t="str">
        <f t="shared" si="174"/>
        <v/>
      </c>
      <c r="AQ213" s="499" t="str">
        <f t="shared" si="174"/>
        <v/>
      </c>
      <c r="AR213" s="499" t="str">
        <f t="shared" si="174"/>
        <v/>
      </c>
      <c r="AS213" s="499" t="str">
        <f t="shared" si="174"/>
        <v/>
      </c>
      <c r="AT213" s="499" t="str">
        <f t="shared" si="174"/>
        <v/>
      </c>
      <c r="AU213" s="499">
        <f t="shared" si="174"/>
        <v>3591.75</v>
      </c>
      <c r="AV213" s="499" t="str">
        <f t="shared" si="174"/>
        <v/>
      </c>
      <c r="AW213" s="499" t="str">
        <f t="shared" si="174"/>
        <v/>
      </c>
      <c r="AX213" s="499" t="str">
        <f t="shared" si="174"/>
        <v/>
      </c>
      <c r="AY213" s="499">
        <f t="shared" si="174"/>
        <v>203632.5625</v>
      </c>
      <c r="AZ213" s="499" t="str">
        <f t="shared" si="174"/>
        <v/>
      </c>
      <c r="BA213" s="499">
        <f t="shared" si="174"/>
        <v>4107.1428571428569</v>
      </c>
      <c r="BB213" s="499">
        <f t="shared" si="174"/>
        <v>28478.4375</v>
      </c>
      <c r="BC213" s="499">
        <f t="shared" si="174"/>
        <v>316637.30769230769</v>
      </c>
      <c r="BD213" s="499" t="str">
        <f t="shared" si="174"/>
        <v/>
      </c>
      <c r="BE213" s="499">
        <f t="shared" si="174"/>
        <v>8400</v>
      </c>
      <c r="BF213" s="499">
        <f t="shared" si="174"/>
        <v>115000</v>
      </c>
      <c r="BG213" s="499" t="str">
        <f t="shared" si="174"/>
        <v/>
      </c>
      <c r="BH213" s="499" t="str">
        <f t="shared" si="174"/>
        <v/>
      </c>
      <c r="BI213" s="499" t="str">
        <f t="shared" si="174"/>
        <v/>
      </c>
      <c r="BJ213" s="499" t="str">
        <f t="shared" si="174"/>
        <v/>
      </c>
      <c r="BK213" s="499">
        <f t="shared" si="174"/>
        <v>312333.33333333331</v>
      </c>
      <c r="BL213" s="499" t="str">
        <f t="shared" si="174"/>
        <v/>
      </c>
      <c r="BM213" s="499" t="str">
        <f t="shared" si="174"/>
        <v/>
      </c>
      <c r="BN213" s="499" t="str">
        <f t="shared" si="174"/>
        <v/>
      </c>
      <c r="BO213" s="499" t="str">
        <f t="shared" ref="BO213:CT213" si="175">IF(BO173=1, BO$152/BO$156, "")</f>
        <v/>
      </c>
      <c r="BP213" s="499">
        <f t="shared" si="175"/>
        <v>187975</v>
      </c>
      <c r="BQ213" s="499" t="str">
        <f t="shared" si="175"/>
        <v/>
      </c>
      <c r="BR213" s="499">
        <f t="shared" si="175"/>
        <v>8000</v>
      </c>
      <c r="BS213" s="499" t="str">
        <f t="shared" si="175"/>
        <v/>
      </c>
      <c r="BT213" s="499">
        <f t="shared" si="175"/>
        <v>0</v>
      </c>
      <c r="BU213" s="499" t="str">
        <f t="shared" si="175"/>
        <v/>
      </c>
      <c r="BV213" s="499" t="str">
        <f t="shared" si="175"/>
        <v/>
      </c>
      <c r="BW213" s="499" t="str">
        <f t="shared" si="175"/>
        <v/>
      </c>
      <c r="BX213" s="499" t="str">
        <f t="shared" si="175"/>
        <v/>
      </c>
      <c r="BY213" s="499">
        <f t="shared" si="175"/>
        <v>1484.3333333333333</v>
      </c>
      <c r="BZ213" s="499" t="str">
        <f t="shared" si="175"/>
        <v/>
      </c>
      <c r="CA213" s="499" t="str">
        <f t="shared" si="175"/>
        <v/>
      </c>
      <c r="CB213" s="499">
        <f t="shared" si="175"/>
        <v>15378.809523809525</v>
      </c>
      <c r="CC213" s="499" t="str">
        <f t="shared" si="175"/>
        <v/>
      </c>
      <c r="CD213" s="499" t="str">
        <f t="shared" si="175"/>
        <v/>
      </c>
      <c r="CE213" s="499" t="str">
        <f t="shared" si="175"/>
        <v/>
      </c>
      <c r="CF213" s="499">
        <f t="shared" si="175"/>
        <v>2980.7142857142858</v>
      </c>
      <c r="CG213" s="499" t="str">
        <f t="shared" si="175"/>
        <v/>
      </c>
      <c r="CH213" s="499" t="str">
        <f t="shared" si="175"/>
        <v/>
      </c>
      <c r="CI213" s="499" t="str">
        <f t="shared" si="175"/>
        <v/>
      </c>
      <c r="CJ213" s="499" t="str">
        <f t="shared" si="175"/>
        <v/>
      </c>
      <c r="CK213" s="499" t="str">
        <f t="shared" si="175"/>
        <v/>
      </c>
      <c r="CL213" s="499">
        <f t="shared" si="175"/>
        <v>73.2</v>
      </c>
      <c r="CM213" s="499" t="str">
        <f t="shared" si="175"/>
        <v/>
      </c>
      <c r="CN213" s="499" t="str">
        <f t="shared" si="175"/>
        <v/>
      </c>
      <c r="CO213" s="499">
        <f t="shared" si="175"/>
        <v>5000</v>
      </c>
      <c r="CP213" s="499" t="str">
        <f t="shared" si="175"/>
        <v/>
      </c>
      <c r="CQ213" s="499" t="str">
        <f t="shared" si="175"/>
        <v/>
      </c>
      <c r="CR213" s="499" t="str">
        <f t="shared" si="175"/>
        <v/>
      </c>
      <c r="CS213" s="499" t="str">
        <f t="shared" si="175"/>
        <v/>
      </c>
      <c r="CT213" s="499">
        <f t="shared" si="175"/>
        <v>75000</v>
      </c>
      <c r="CU213" s="499">
        <f t="shared" ref="CU213:DZ213" si="176">IF(CU173=1, CU$152/CU$156, "")</f>
        <v>75000</v>
      </c>
      <c r="CV213" s="499">
        <f t="shared" si="176"/>
        <v>7821</v>
      </c>
      <c r="CW213" s="499">
        <f t="shared" si="176"/>
        <v>580269.25</v>
      </c>
      <c r="CX213" s="499" t="str">
        <f t="shared" si="176"/>
        <v/>
      </c>
      <c r="CY213" s="499">
        <f t="shared" si="176"/>
        <v>2268.6666666666665</v>
      </c>
      <c r="CZ213" s="499" t="str">
        <f t="shared" si="176"/>
        <v/>
      </c>
      <c r="DA213" s="499" t="str">
        <f t="shared" si="176"/>
        <v/>
      </c>
      <c r="DB213" s="499">
        <f t="shared" si="176"/>
        <v>1991.6666666666667</v>
      </c>
      <c r="DC213" s="499">
        <f t="shared" si="176"/>
        <v>275823.3125</v>
      </c>
      <c r="DD213" s="499" t="str">
        <f t="shared" si="176"/>
        <v/>
      </c>
      <c r="DE213" s="499" t="str">
        <f t="shared" si="176"/>
        <v/>
      </c>
      <c r="DF213" s="499" t="str">
        <f t="shared" si="176"/>
        <v/>
      </c>
      <c r="DG213" s="499" t="str">
        <f t="shared" si="176"/>
        <v/>
      </c>
      <c r="DH213" s="499">
        <f t="shared" si="176"/>
        <v>3018.8095714285714</v>
      </c>
      <c r="DI213" s="499" t="str">
        <f t="shared" si="176"/>
        <v/>
      </c>
      <c r="DJ213" s="499" t="str">
        <f t="shared" si="176"/>
        <v/>
      </c>
      <c r="DK213" s="499">
        <f t="shared" si="176"/>
        <v>250</v>
      </c>
      <c r="DL213" s="499" t="str">
        <f t="shared" si="176"/>
        <v/>
      </c>
      <c r="DM213" s="499" t="str">
        <f t="shared" si="176"/>
        <v/>
      </c>
      <c r="DN213" s="499" t="str">
        <f t="shared" si="176"/>
        <v/>
      </c>
      <c r="DO213" s="499" t="str">
        <f t="shared" si="176"/>
        <v/>
      </c>
      <c r="DP213" s="499" t="str">
        <f t="shared" si="176"/>
        <v/>
      </c>
      <c r="DQ213" s="499" t="str">
        <f t="shared" si="176"/>
        <v/>
      </c>
      <c r="DR213" s="499" t="str">
        <f t="shared" si="176"/>
        <v/>
      </c>
      <c r="DS213" s="499">
        <f t="shared" si="176"/>
        <v>421000</v>
      </c>
      <c r="DT213" s="499" t="str">
        <f t="shared" si="176"/>
        <v/>
      </c>
      <c r="DU213" s="499" t="str">
        <f t="shared" si="176"/>
        <v/>
      </c>
      <c r="DV213" s="499" t="str">
        <f t="shared" si="176"/>
        <v/>
      </c>
      <c r="DW213" s="499" t="str">
        <f t="shared" si="176"/>
        <v/>
      </c>
      <c r="DX213" s="499" t="str">
        <f t="shared" si="176"/>
        <v/>
      </c>
      <c r="DY213" s="499" t="str">
        <f t="shared" si="176"/>
        <v/>
      </c>
      <c r="DZ213" s="499" t="str">
        <f t="shared" si="176"/>
        <v/>
      </c>
      <c r="EA213" s="499" t="str">
        <f t="shared" ref="EA213:EI213" si="177">IF(EA173=1, EA$152/EA$156, "")</f>
        <v/>
      </c>
      <c r="EB213" s="499" t="str">
        <f t="shared" si="177"/>
        <v/>
      </c>
      <c r="EC213" s="499" t="str">
        <f t="shared" si="177"/>
        <v/>
      </c>
      <c r="ED213" s="499" t="str">
        <f t="shared" si="177"/>
        <v/>
      </c>
      <c r="EE213" s="499">
        <f t="shared" si="177"/>
        <v>2612500</v>
      </c>
      <c r="EF213" s="499">
        <f t="shared" si="177"/>
        <v>740478.33333333337</v>
      </c>
      <c r="EG213" s="499">
        <f t="shared" si="177"/>
        <v>77450</v>
      </c>
      <c r="EH213" s="499" t="str">
        <f t="shared" si="177"/>
        <v/>
      </c>
      <c r="EI213" s="499" t="str">
        <f t="shared" si="177"/>
        <v/>
      </c>
      <c r="EJ213" s="499">
        <f t="shared" si="107"/>
        <v>9303655.8405970708</v>
      </c>
      <c r="EK213" s="67"/>
      <c r="EL213" s="67"/>
      <c r="EM213" s="67"/>
      <c r="EN213" s="67"/>
      <c r="EO213" s="67"/>
      <c r="EP213" s="67"/>
      <c r="EQ213" s="67"/>
      <c r="ER213" s="67"/>
      <c r="ES213" s="67"/>
      <c r="ET213" s="67"/>
      <c r="EU213" s="67"/>
      <c r="EV213" s="67"/>
      <c r="EW213" s="67"/>
      <c r="EX213" s="67"/>
      <c r="EY213" s="67"/>
      <c r="EZ213" s="67"/>
    </row>
    <row r="214" spans="1:156">
      <c r="B214" s="500" t="s">
        <v>94</v>
      </c>
      <c r="C214" s="499" t="str">
        <f t="shared" ref="C214:AH214" si="178">IF(C174=1, C$152/C$156, "")</f>
        <v/>
      </c>
      <c r="D214" s="499" t="str">
        <f t="shared" si="178"/>
        <v/>
      </c>
      <c r="E214" s="499" t="str">
        <f t="shared" si="178"/>
        <v/>
      </c>
      <c r="F214" s="499" t="str">
        <f t="shared" si="178"/>
        <v/>
      </c>
      <c r="G214" s="499">
        <f t="shared" si="178"/>
        <v>545468.5</v>
      </c>
      <c r="H214" s="499">
        <f t="shared" si="178"/>
        <v>17291.6875</v>
      </c>
      <c r="I214" s="499" t="str">
        <f t="shared" si="178"/>
        <v/>
      </c>
      <c r="J214" s="499" t="str">
        <f t="shared" si="178"/>
        <v/>
      </c>
      <c r="K214" s="499" t="str">
        <f t="shared" si="178"/>
        <v/>
      </c>
      <c r="L214" s="499" t="str">
        <f t="shared" si="178"/>
        <v/>
      </c>
      <c r="M214" s="499" t="str">
        <f t="shared" si="178"/>
        <v/>
      </c>
      <c r="N214" s="499" t="str">
        <f t="shared" si="178"/>
        <v/>
      </c>
      <c r="O214" s="499" t="str">
        <f t="shared" si="178"/>
        <v/>
      </c>
      <c r="P214" s="499" t="str">
        <f t="shared" si="178"/>
        <v/>
      </c>
      <c r="Q214" s="499" t="str">
        <f t="shared" si="178"/>
        <v/>
      </c>
      <c r="R214" s="499" t="str">
        <f t="shared" si="178"/>
        <v/>
      </c>
      <c r="S214" s="499" t="str">
        <f t="shared" si="178"/>
        <v/>
      </c>
      <c r="T214" s="499" t="str">
        <f t="shared" si="178"/>
        <v/>
      </c>
      <c r="U214" s="499" t="str">
        <f t="shared" si="178"/>
        <v/>
      </c>
      <c r="V214" s="499" t="str">
        <f t="shared" si="178"/>
        <v/>
      </c>
      <c r="W214" s="499" t="str">
        <f t="shared" si="178"/>
        <v/>
      </c>
      <c r="X214" s="499">
        <f t="shared" si="178"/>
        <v>1972167.5</v>
      </c>
      <c r="Y214" s="499" t="str">
        <f t="shared" si="178"/>
        <v/>
      </c>
      <c r="Z214" s="499">
        <f t="shared" si="178"/>
        <v>1666.6666666666667</v>
      </c>
      <c r="AA214" s="499" t="str">
        <f t="shared" si="178"/>
        <v/>
      </c>
      <c r="AB214" s="499" t="str">
        <f t="shared" si="178"/>
        <v/>
      </c>
      <c r="AC214" s="499" t="str">
        <f t="shared" si="178"/>
        <v/>
      </c>
      <c r="AD214" s="499" t="str">
        <f t="shared" si="178"/>
        <v/>
      </c>
      <c r="AE214" s="499" t="str">
        <f t="shared" si="178"/>
        <v/>
      </c>
      <c r="AF214" s="499" t="str">
        <f t="shared" si="178"/>
        <v/>
      </c>
      <c r="AG214" s="499" t="str">
        <f t="shared" si="178"/>
        <v/>
      </c>
      <c r="AH214" s="499">
        <f t="shared" si="178"/>
        <v>0</v>
      </c>
      <c r="AI214" s="499" t="str">
        <f t="shared" ref="AI214:BN214" si="179">IF(AI174=1, AI$152/AI$156, "")</f>
        <v/>
      </c>
      <c r="AJ214" s="499" t="str">
        <f t="shared" si="179"/>
        <v/>
      </c>
      <c r="AK214" s="499" t="str">
        <f t="shared" si="179"/>
        <v/>
      </c>
      <c r="AL214" s="499" t="str">
        <f t="shared" si="179"/>
        <v/>
      </c>
      <c r="AM214" s="499" t="str">
        <f t="shared" si="179"/>
        <v/>
      </c>
      <c r="AN214" s="499" t="str">
        <f t="shared" si="179"/>
        <v/>
      </c>
      <c r="AO214" s="499" t="str">
        <f t="shared" si="179"/>
        <v/>
      </c>
      <c r="AP214" s="499" t="str">
        <f t="shared" si="179"/>
        <v/>
      </c>
      <c r="AQ214" s="499" t="str">
        <f t="shared" si="179"/>
        <v/>
      </c>
      <c r="AR214" s="499" t="str">
        <f t="shared" si="179"/>
        <v/>
      </c>
      <c r="AS214" s="499" t="str">
        <f t="shared" si="179"/>
        <v/>
      </c>
      <c r="AT214" s="499" t="str">
        <f t="shared" si="179"/>
        <v/>
      </c>
      <c r="AU214" s="499" t="str">
        <f t="shared" si="179"/>
        <v/>
      </c>
      <c r="AV214" s="499" t="str">
        <f t="shared" si="179"/>
        <v/>
      </c>
      <c r="AW214" s="499" t="str">
        <f t="shared" si="179"/>
        <v/>
      </c>
      <c r="AX214" s="499">
        <f t="shared" si="179"/>
        <v>0</v>
      </c>
      <c r="AY214" s="499">
        <f t="shared" si="179"/>
        <v>203632.5625</v>
      </c>
      <c r="AZ214" s="499" t="str">
        <f t="shared" si="179"/>
        <v/>
      </c>
      <c r="BA214" s="499">
        <f t="shared" si="179"/>
        <v>4107.1428571428569</v>
      </c>
      <c r="BB214" s="499">
        <f t="shared" si="179"/>
        <v>28478.4375</v>
      </c>
      <c r="BC214" s="499">
        <f t="shared" si="179"/>
        <v>316637.30769230769</v>
      </c>
      <c r="BD214" s="499">
        <f t="shared" si="179"/>
        <v>258987.85714285713</v>
      </c>
      <c r="BE214" s="499" t="str">
        <f t="shared" si="179"/>
        <v/>
      </c>
      <c r="BF214" s="499" t="str">
        <f t="shared" si="179"/>
        <v/>
      </c>
      <c r="BG214" s="499" t="str">
        <f t="shared" si="179"/>
        <v/>
      </c>
      <c r="BH214" s="499" t="str">
        <f t="shared" si="179"/>
        <v/>
      </c>
      <c r="BI214" s="499" t="str">
        <f t="shared" si="179"/>
        <v/>
      </c>
      <c r="BJ214" s="499" t="str">
        <f t="shared" si="179"/>
        <v/>
      </c>
      <c r="BK214" s="499" t="str">
        <f t="shared" si="179"/>
        <v/>
      </c>
      <c r="BL214" s="499">
        <f t="shared" si="179"/>
        <v>909167</v>
      </c>
      <c r="BM214" s="499" t="str">
        <f t="shared" si="179"/>
        <v/>
      </c>
      <c r="BN214" s="499" t="str">
        <f t="shared" si="179"/>
        <v/>
      </c>
      <c r="BO214" s="499">
        <f t="shared" ref="BO214:CT214" si="180">IF(BO174=1, BO$152/BO$156, "")</f>
        <v>92290</v>
      </c>
      <c r="BP214" s="499">
        <f t="shared" si="180"/>
        <v>187975</v>
      </c>
      <c r="BQ214" s="499" t="str">
        <f t="shared" si="180"/>
        <v/>
      </c>
      <c r="BR214" s="499" t="str">
        <f t="shared" si="180"/>
        <v/>
      </c>
      <c r="BS214" s="499" t="str">
        <f t="shared" si="180"/>
        <v/>
      </c>
      <c r="BT214" s="499" t="str">
        <f t="shared" si="180"/>
        <v/>
      </c>
      <c r="BU214" s="499" t="str">
        <f t="shared" si="180"/>
        <v/>
      </c>
      <c r="BV214" s="499" t="str">
        <f t="shared" si="180"/>
        <v/>
      </c>
      <c r="BW214" s="499">
        <f t="shared" si="180"/>
        <v>0</v>
      </c>
      <c r="BX214" s="499">
        <f t="shared" si="180"/>
        <v>2036023</v>
      </c>
      <c r="BY214" s="499" t="str">
        <f t="shared" si="180"/>
        <v/>
      </c>
      <c r="BZ214" s="499" t="str">
        <f t="shared" si="180"/>
        <v/>
      </c>
      <c r="CA214" s="499" t="str">
        <f t="shared" si="180"/>
        <v/>
      </c>
      <c r="CB214" s="499" t="str">
        <f t="shared" si="180"/>
        <v/>
      </c>
      <c r="CC214" s="499" t="str">
        <f t="shared" si="180"/>
        <v/>
      </c>
      <c r="CD214" s="499" t="str">
        <f t="shared" si="180"/>
        <v/>
      </c>
      <c r="CE214" s="499">
        <f t="shared" si="180"/>
        <v>264350</v>
      </c>
      <c r="CF214" s="499">
        <f t="shared" si="180"/>
        <v>2980.7142857142858</v>
      </c>
      <c r="CG214" s="499" t="str">
        <f t="shared" si="180"/>
        <v/>
      </c>
      <c r="CH214" s="499" t="str">
        <f t="shared" si="180"/>
        <v/>
      </c>
      <c r="CI214" s="499" t="str">
        <f t="shared" si="180"/>
        <v/>
      </c>
      <c r="CJ214" s="499" t="str">
        <f t="shared" si="180"/>
        <v/>
      </c>
      <c r="CK214" s="499" t="str">
        <f t="shared" si="180"/>
        <v/>
      </c>
      <c r="CL214" s="499" t="str">
        <f t="shared" si="180"/>
        <v/>
      </c>
      <c r="CM214" s="499" t="str">
        <f t="shared" si="180"/>
        <v/>
      </c>
      <c r="CN214" s="499" t="str">
        <f t="shared" si="180"/>
        <v/>
      </c>
      <c r="CO214" s="499" t="str">
        <f t="shared" si="180"/>
        <v/>
      </c>
      <c r="CP214" s="499" t="str">
        <f t="shared" si="180"/>
        <v/>
      </c>
      <c r="CQ214" s="499" t="str">
        <f t="shared" si="180"/>
        <v/>
      </c>
      <c r="CR214" s="499" t="str">
        <f t="shared" si="180"/>
        <v/>
      </c>
      <c r="CS214" s="499" t="str">
        <f t="shared" si="180"/>
        <v/>
      </c>
      <c r="CT214" s="499" t="str">
        <f t="shared" si="180"/>
        <v/>
      </c>
      <c r="CU214" s="499" t="str">
        <f t="shared" ref="CU214:DZ214" si="181">IF(CU174=1, CU$152/CU$156, "")</f>
        <v/>
      </c>
      <c r="CV214" s="499" t="str">
        <f t="shared" si="181"/>
        <v/>
      </c>
      <c r="CW214" s="499" t="str">
        <f t="shared" si="181"/>
        <v/>
      </c>
      <c r="CX214" s="499" t="str">
        <f t="shared" si="181"/>
        <v/>
      </c>
      <c r="CY214" s="499" t="str">
        <f t="shared" si="181"/>
        <v/>
      </c>
      <c r="CZ214" s="499" t="str">
        <f t="shared" si="181"/>
        <v/>
      </c>
      <c r="DA214" s="499" t="str">
        <f t="shared" si="181"/>
        <v/>
      </c>
      <c r="DB214" s="499" t="str">
        <f t="shared" si="181"/>
        <v/>
      </c>
      <c r="DC214" s="499">
        <f t="shared" si="181"/>
        <v>275823.3125</v>
      </c>
      <c r="DD214" s="499" t="str">
        <f t="shared" si="181"/>
        <v/>
      </c>
      <c r="DE214" s="499" t="str">
        <f t="shared" si="181"/>
        <v/>
      </c>
      <c r="DF214" s="499" t="str">
        <f t="shared" si="181"/>
        <v/>
      </c>
      <c r="DG214" s="499" t="str">
        <f t="shared" si="181"/>
        <v/>
      </c>
      <c r="DH214" s="499" t="str">
        <f t="shared" si="181"/>
        <v/>
      </c>
      <c r="DI214" s="499" t="str">
        <f t="shared" si="181"/>
        <v/>
      </c>
      <c r="DJ214" s="499" t="str">
        <f t="shared" si="181"/>
        <v/>
      </c>
      <c r="DK214" s="499">
        <f t="shared" si="181"/>
        <v>250</v>
      </c>
      <c r="DL214" s="499" t="str">
        <f t="shared" si="181"/>
        <v/>
      </c>
      <c r="DM214" s="499" t="str">
        <f t="shared" si="181"/>
        <v/>
      </c>
      <c r="DN214" s="499" t="str">
        <f t="shared" si="181"/>
        <v/>
      </c>
      <c r="DO214" s="499" t="str">
        <f t="shared" si="181"/>
        <v/>
      </c>
      <c r="DP214" s="499">
        <f t="shared" si="181"/>
        <v>62500</v>
      </c>
      <c r="DQ214" s="499" t="str">
        <f t="shared" si="181"/>
        <v/>
      </c>
      <c r="DR214" s="499" t="str">
        <f t="shared" si="181"/>
        <v/>
      </c>
      <c r="DS214" s="499" t="str">
        <f t="shared" si="181"/>
        <v/>
      </c>
      <c r="DT214" s="499">
        <f t="shared" si="181"/>
        <v>142538</v>
      </c>
      <c r="DU214" s="499" t="str">
        <f t="shared" si="181"/>
        <v/>
      </c>
      <c r="DV214" s="499" t="str">
        <f t="shared" si="181"/>
        <v/>
      </c>
      <c r="DW214" s="499" t="str">
        <f t="shared" si="181"/>
        <v/>
      </c>
      <c r="DX214" s="499" t="str">
        <f t="shared" si="181"/>
        <v/>
      </c>
      <c r="DY214" s="499">
        <f t="shared" si="181"/>
        <v>0</v>
      </c>
      <c r="DZ214" s="499" t="str">
        <f t="shared" si="181"/>
        <v/>
      </c>
      <c r="EA214" s="499" t="str">
        <f t="shared" ref="EA214:EI214" si="182">IF(EA174=1, EA$152/EA$156, "")</f>
        <v/>
      </c>
      <c r="EB214" s="499" t="str">
        <f t="shared" si="182"/>
        <v/>
      </c>
      <c r="EC214" s="499" t="str">
        <f t="shared" si="182"/>
        <v/>
      </c>
      <c r="ED214" s="499" t="str">
        <f t="shared" si="182"/>
        <v/>
      </c>
      <c r="EE214" s="499" t="str">
        <f t="shared" si="182"/>
        <v/>
      </c>
      <c r="EF214" s="499" t="str">
        <f t="shared" si="182"/>
        <v/>
      </c>
      <c r="EG214" s="499" t="str">
        <f t="shared" si="182"/>
        <v/>
      </c>
      <c r="EH214" s="499" t="str">
        <f t="shared" si="182"/>
        <v/>
      </c>
      <c r="EI214" s="499" t="str">
        <f t="shared" si="182"/>
        <v/>
      </c>
      <c r="EJ214" s="499">
        <f t="shared" si="107"/>
        <v>7322334.6886446886</v>
      </c>
      <c r="EK214" s="67"/>
      <c r="EL214" s="67"/>
      <c r="EM214" s="67"/>
      <c r="EN214" s="67"/>
      <c r="EO214" s="67"/>
      <c r="EP214" s="67"/>
      <c r="EQ214" s="67"/>
      <c r="ER214" s="67"/>
      <c r="ES214" s="67"/>
      <c r="ET214" s="67"/>
      <c r="EU214" s="67"/>
      <c r="EV214" s="67"/>
      <c r="EW214" s="67"/>
      <c r="EX214" s="67"/>
      <c r="EY214" s="67"/>
      <c r="EZ214" s="67"/>
    </row>
    <row r="215" spans="1:156">
      <c r="B215" s="500" t="s">
        <v>70</v>
      </c>
      <c r="C215" s="499" t="str">
        <f t="shared" ref="C215:AH215" si="183">IF(C175=1, C$152/C$156, "")</f>
        <v/>
      </c>
      <c r="D215" s="499" t="str">
        <f t="shared" si="183"/>
        <v/>
      </c>
      <c r="E215" s="499" t="str">
        <f t="shared" si="183"/>
        <v/>
      </c>
      <c r="F215" s="499" t="str">
        <f t="shared" si="183"/>
        <v/>
      </c>
      <c r="G215" s="499" t="str">
        <f t="shared" si="183"/>
        <v/>
      </c>
      <c r="H215" s="499" t="str">
        <f t="shared" si="183"/>
        <v/>
      </c>
      <c r="I215" s="499" t="str">
        <f t="shared" si="183"/>
        <v/>
      </c>
      <c r="J215" s="499" t="str">
        <f t="shared" si="183"/>
        <v/>
      </c>
      <c r="K215" s="499">
        <f t="shared" si="183"/>
        <v>877500</v>
      </c>
      <c r="L215" s="499">
        <f t="shared" si="183"/>
        <v>683000</v>
      </c>
      <c r="M215" s="499" t="str">
        <f t="shared" si="183"/>
        <v/>
      </c>
      <c r="N215" s="499">
        <f t="shared" si="183"/>
        <v>0</v>
      </c>
      <c r="O215" s="499">
        <f t="shared" si="183"/>
        <v>0</v>
      </c>
      <c r="P215" s="499" t="str">
        <f t="shared" si="183"/>
        <v/>
      </c>
      <c r="Q215" s="499" t="str">
        <f t="shared" si="183"/>
        <v/>
      </c>
      <c r="R215" s="499" t="str">
        <f t="shared" si="183"/>
        <v/>
      </c>
      <c r="S215" s="499" t="str">
        <f t="shared" si="183"/>
        <v/>
      </c>
      <c r="T215" s="499" t="str">
        <f t="shared" si="183"/>
        <v/>
      </c>
      <c r="U215" s="499" t="str">
        <f t="shared" si="183"/>
        <v/>
      </c>
      <c r="V215" s="499">
        <f t="shared" si="183"/>
        <v>4225333.333333333</v>
      </c>
      <c r="W215" s="499">
        <f t="shared" si="183"/>
        <v>10000</v>
      </c>
      <c r="X215" s="499" t="str">
        <f t="shared" si="183"/>
        <v/>
      </c>
      <c r="Y215" s="499" t="str">
        <f t="shared" si="183"/>
        <v/>
      </c>
      <c r="Z215" s="499" t="str">
        <f t="shared" si="183"/>
        <v/>
      </c>
      <c r="AA215" s="499" t="str">
        <f t="shared" si="183"/>
        <v/>
      </c>
      <c r="AB215" s="499">
        <f t="shared" si="183"/>
        <v>889187.5</v>
      </c>
      <c r="AC215" s="499" t="str">
        <f t="shared" si="183"/>
        <v/>
      </c>
      <c r="AD215" s="499" t="str">
        <f t="shared" si="183"/>
        <v/>
      </c>
      <c r="AE215" s="499">
        <f t="shared" si="183"/>
        <v>1666666.6666666667</v>
      </c>
      <c r="AF215" s="499" t="str">
        <f t="shared" si="183"/>
        <v/>
      </c>
      <c r="AG215" s="499" t="str">
        <f t="shared" si="183"/>
        <v/>
      </c>
      <c r="AH215" s="499">
        <f t="shared" si="183"/>
        <v>0</v>
      </c>
      <c r="AI215" s="499" t="str">
        <f t="shared" ref="AI215:BN215" si="184">IF(AI175=1, AI$152/AI$156, "")</f>
        <v/>
      </c>
      <c r="AJ215" s="499" t="str">
        <f t="shared" si="184"/>
        <v/>
      </c>
      <c r="AK215" s="499" t="str">
        <f t="shared" si="184"/>
        <v/>
      </c>
      <c r="AL215" s="499" t="str">
        <f t="shared" si="184"/>
        <v/>
      </c>
      <c r="AM215" s="499" t="str">
        <f t="shared" si="184"/>
        <v/>
      </c>
      <c r="AN215" s="499" t="str">
        <f t="shared" si="184"/>
        <v/>
      </c>
      <c r="AO215" s="499" t="str">
        <f t="shared" si="184"/>
        <v/>
      </c>
      <c r="AP215" s="499" t="str">
        <f t="shared" si="184"/>
        <v/>
      </c>
      <c r="AQ215" s="499">
        <f t="shared" si="184"/>
        <v>90000</v>
      </c>
      <c r="AR215" s="499" t="str">
        <f t="shared" si="184"/>
        <v/>
      </c>
      <c r="AS215" s="499" t="str">
        <f t="shared" si="184"/>
        <v/>
      </c>
      <c r="AT215" s="499" t="str">
        <f t="shared" si="184"/>
        <v/>
      </c>
      <c r="AU215" s="499">
        <f t="shared" si="184"/>
        <v>3591.75</v>
      </c>
      <c r="AV215" s="499" t="str">
        <f t="shared" si="184"/>
        <v/>
      </c>
      <c r="AW215" s="499" t="str">
        <f t="shared" si="184"/>
        <v/>
      </c>
      <c r="AX215" s="499" t="str">
        <f t="shared" si="184"/>
        <v/>
      </c>
      <c r="AY215" s="499" t="str">
        <f t="shared" si="184"/>
        <v/>
      </c>
      <c r="AZ215" s="499" t="str">
        <f t="shared" si="184"/>
        <v/>
      </c>
      <c r="BA215" s="499">
        <f t="shared" si="184"/>
        <v>4107.1428571428569</v>
      </c>
      <c r="BB215" s="499" t="str">
        <f t="shared" si="184"/>
        <v/>
      </c>
      <c r="BC215" s="499" t="str">
        <f t="shared" si="184"/>
        <v/>
      </c>
      <c r="BD215" s="499" t="str">
        <f t="shared" si="184"/>
        <v/>
      </c>
      <c r="BE215" s="499" t="str">
        <f t="shared" si="184"/>
        <v/>
      </c>
      <c r="BF215" s="499" t="str">
        <f t="shared" si="184"/>
        <v/>
      </c>
      <c r="BG215" s="499" t="str">
        <f t="shared" si="184"/>
        <v/>
      </c>
      <c r="BH215" s="499">
        <f t="shared" si="184"/>
        <v>0</v>
      </c>
      <c r="BI215" s="499">
        <f t="shared" si="184"/>
        <v>0</v>
      </c>
      <c r="BJ215" s="499">
        <f t="shared" si="184"/>
        <v>0</v>
      </c>
      <c r="BK215" s="499" t="str">
        <f t="shared" si="184"/>
        <v/>
      </c>
      <c r="BL215" s="499" t="str">
        <f t="shared" si="184"/>
        <v/>
      </c>
      <c r="BM215" s="499" t="str">
        <f t="shared" si="184"/>
        <v/>
      </c>
      <c r="BN215" s="499" t="str">
        <f t="shared" si="184"/>
        <v/>
      </c>
      <c r="BO215" s="499" t="str">
        <f t="shared" ref="BO215:CT215" si="185">IF(BO175=1, BO$152/BO$156, "")</f>
        <v/>
      </c>
      <c r="BP215" s="499" t="str">
        <f t="shared" si="185"/>
        <v/>
      </c>
      <c r="BQ215" s="499">
        <f t="shared" si="185"/>
        <v>19367905</v>
      </c>
      <c r="BR215" s="499" t="str">
        <f t="shared" si="185"/>
        <v/>
      </c>
      <c r="BS215" s="499">
        <f t="shared" si="185"/>
        <v>4469330</v>
      </c>
      <c r="BT215" s="499" t="str">
        <f t="shared" si="185"/>
        <v/>
      </c>
      <c r="BU215" s="499" t="str">
        <f t="shared" si="185"/>
        <v/>
      </c>
      <c r="BV215" s="499" t="str">
        <f t="shared" si="185"/>
        <v/>
      </c>
      <c r="BW215" s="499" t="str">
        <f t="shared" si="185"/>
        <v/>
      </c>
      <c r="BX215" s="499" t="str">
        <f t="shared" si="185"/>
        <v/>
      </c>
      <c r="BY215" s="499" t="str">
        <f t="shared" si="185"/>
        <v/>
      </c>
      <c r="BZ215" s="499">
        <f t="shared" si="185"/>
        <v>0</v>
      </c>
      <c r="CA215" s="499" t="str">
        <f t="shared" si="185"/>
        <v/>
      </c>
      <c r="CB215" s="499" t="str">
        <f t="shared" si="185"/>
        <v/>
      </c>
      <c r="CC215" s="499" t="str">
        <f t="shared" si="185"/>
        <v/>
      </c>
      <c r="CD215" s="499" t="str">
        <f t="shared" si="185"/>
        <v/>
      </c>
      <c r="CE215" s="499" t="str">
        <f t="shared" si="185"/>
        <v/>
      </c>
      <c r="CF215" s="499" t="str">
        <f t="shared" si="185"/>
        <v/>
      </c>
      <c r="CG215" s="499" t="str">
        <f t="shared" si="185"/>
        <v/>
      </c>
      <c r="CH215" s="499">
        <f t="shared" si="185"/>
        <v>0</v>
      </c>
      <c r="CI215" s="499">
        <f t="shared" si="185"/>
        <v>0</v>
      </c>
      <c r="CJ215" s="499" t="str">
        <f t="shared" si="185"/>
        <v/>
      </c>
      <c r="CK215" s="499" t="str">
        <f t="shared" si="185"/>
        <v/>
      </c>
      <c r="CL215" s="499" t="str">
        <f t="shared" si="185"/>
        <v/>
      </c>
      <c r="CM215" s="499" t="str">
        <f t="shared" si="185"/>
        <v/>
      </c>
      <c r="CN215" s="499" t="str">
        <f t="shared" si="185"/>
        <v/>
      </c>
      <c r="CO215" s="499" t="str">
        <f t="shared" si="185"/>
        <v/>
      </c>
      <c r="CP215" s="499" t="str">
        <f t="shared" si="185"/>
        <v/>
      </c>
      <c r="CQ215" s="499">
        <f t="shared" si="185"/>
        <v>1675000</v>
      </c>
      <c r="CR215" s="499">
        <f t="shared" si="185"/>
        <v>1238500</v>
      </c>
      <c r="CS215" s="499" t="str">
        <f t="shared" si="185"/>
        <v/>
      </c>
      <c r="CT215" s="499" t="str">
        <f t="shared" si="185"/>
        <v/>
      </c>
      <c r="CU215" s="499">
        <f t="shared" ref="CU215:DZ215" si="186">IF(CU175=1, CU$152/CU$156, "")</f>
        <v>75000</v>
      </c>
      <c r="CV215" s="499" t="str">
        <f t="shared" si="186"/>
        <v/>
      </c>
      <c r="CW215" s="499" t="str">
        <f t="shared" si="186"/>
        <v/>
      </c>
      <c r="CX215" s="499" t="str">
        <f t="shared" si="186"/>
        <v/>
      </c>
      <c r="CY215" s="499" t="str">
        <f t="shared" si="186"/>
        <v/>
      </c>
      <c r="CZ215" s="499" t="str">
        <f t="shared" si="186"/>
        <v/>
      </c>
      <c r="DA215" s="499">
        <f t="shared" si="186"/>
        <v>73500</v>
      </c>
      <c r="DB215" s="499" t="str">
        <f t="shared" si="186"/>
        <v/>
      </c>
      <c r="DC215" s="499" t="str">
        <f t="shared" si="186"/>
        <v/>
      </c>
      <c r="DD215" s="499" t="str">
        <f t="shared" si="186"/>
        <v/>
      </c>
      <c r="DE215" s="499" t="str">
        <f t="shared" si="186"/>
        <v/>
      </c>
      <c r="DF215" s="499" t="str">
        <f t="shared" si="186"/>
        <v/>
      </c>
      <c r="DG215" s="499" t="str">
        <f t="shared" si="186"/>
        <v/>
      </c>
      <c r="DH215" s="499" t="str">
        <f t="shared" si="186"/>
        <v/>
      </c>
      <c r="DI215" s="499" t="str">
        <f t="shared" si="186"/>
        <v/>
      </c>
      <c r="DJ215" s="499" t="str">
        <f t="shared" si="186"/>
        <v/>
      </c>
      <c r="DK215" s="499" t="str">
        <f t="shared" si="186"/>
        <v/>
      </c>
      <c r="DL215" s="499">
        <f t="shared" si="186"/>
        <v>358500</v>
      </c>
      <c r="DM215" s="499">
        <f t="shared" si="186"/>
        <v>13133.5</v>
      </c>
      <c r="DN215" s="499">
        <f t="shared" si="186"/>
        <v>3350</v>
      </c>
      <c r="DO215" s="499">
        <f t="shared" si="186"/>
        <v>5566462.333333333</v>
      </c>
      <c r="DP215" s="499" t="str">
        <f t="shared" si="186"/>
        <v/>
      </c>
      <c r="DQ215" s="499" t="str">
        <f t="shared" si="186"/>
        <v/>
      </c>
      <c r="DR215" s="499" t="str">
        <f t="shared" si="186"/>
        <v/>
      </c>
      <c r="DS215" s="499" t="str">
        <f t="shared" si="186"/>
        <v/>
      </c>
      <c r="DT215" s="499" t="str">
        <f t="shared" si="186"/>
        <v/>
      </c>
      <c r="DU215" s="499">
        <f t="shared" si="186"/>
        <v>1520233.3333333333</v>
      </c>
      <c r="DV215" s="499">
        <f t="shared" si="186"/>
        <v>387000</v>
      </c>
      <c r="DW215" s="499" t="str">
        <f t="shared" si="186"/>
        <v/>
      </c>
      <c r="DX215" s="499" t="str">
        <f t="shared" si="186"/>
        <v/>
      </c>
      <c r="DY215" s="499" t="str">
        <f t="shared" si="186"/>
        <v/>
      </c>
      <c r="DZ215" s="499" t="str">
        <f t="shared" si="186"/>
        <v/>
      </c>
      <c r="EA215" s="499" t="str">
        <f t="shared" ref="EA215:EI215" si="187">IF(EA175=1, EA$152/EA$156, "")</f>
        <v/>
      </c>
      <c r="EB215" s="499">
        <f t="shared" si="187"/>
        <v>0</v>
      </c>
      <c r="EC215" s="499">
        <f t="shared" si="187"/>
        <v>765515</v>
      </c>
      <c r="ED215" s="499" t="str">
        <f t="shared" si="187"/>
        <v/>
      </c>
      <c r="EE215" s="499" t="str">
        <f t="shared" si="187"/>
        <v/>
      </c>
      <c r="EF215" s="499" t="str">
        <f t="shared" si="187"/>
        <v/>
      </c>
      <c r="EG215" s="499" t="str">
        <f t="shared" si="187"/>
        <v/>
      </c>
      <c r="EH215" s="499" t="str">
        <f t="shared" si="187"/>
        <v/>
      </c>
      <c r="EI215" s="499" t="str">
        <f t="shared" si="187"/>
        <v/>
      </c>
      <c r="EJ215" s="499">
        <f t="shared" si="107"/>
        <v>43962815.559523813</v>
      </c>
      <c r="EK215" s="67"/>
      <c r="EL215" s="67"/>
      <c r="EM215" s="67"/>
      <c r="EN215" s="67"/>
      <c r="EO215" s="67"/>
      <c r="EP215" s="67"/>
      <c r="EQ215" s="67"/>
      <c r="ER215" s="67"/>
      <c r="ES215" s="67"/>
      <c r="ET215" s="67"/>
      <c r="EU215" s="67"/>
      <c r="EV215" s="67"/>
      <c r="EW215" s="67"/>
      <c r="EX215" s="67"/>
      <c r="EY215" s="67"/>
      <c r="EZ215" s="67"/>
    </row>
    <row r="216" spans="1:156" s="92" customFormat="1">
      <c r="A216" s="61"/>
      <c r="B216" s="498" t="s">
        <v>581</v>
      </c>
      <c r="C216" s="497" t="str">
        <f t="shared" ref="C216:AH216" si="188">IF(SUM(C199:C215)=C152, "Consistent", "Inconsistent")</f>
        <v>Consistent</v>
      </c>
      <c r="D216" s="497" t="str">
        <f t="shared" si="188"/>
        <v>Consistent</v>
      </c>
      <c r="E216" s="497" t="str">
        <f t="shared" si="188"/>
        <v>Consistent</v>
      </c>
      <c r="F216" s="497" t="str">
        <f t="shared" si="188"/>
        <v>Consistent</v>
      </c>
      <c r="G216" s="497" t="str">
        <f t="shared" si="188"/>
        <v>Consistent</v>
      </c>
      <c r="H216" s="497" t="str">
        <f t="shared" si="188"/>
        <v>Consistent</v>
      </c>
      <c r="I216" s="497" t="str">
        <f t="shared" si="188"/>
        <v>Consistent</v>
      </c>
      <c r="J216" s="497" t="str">
        <f t="shared" si="188"/>
        <v>Consistent</v>
      </c>
      <c r="K216" s="497" t="str">
        <f t="shared" si="188"/>
        <v>Consistent</v>
      </c>
      <c r="L216" s="497" t="str">
        <f t="shared" si="188"/>
        <v>Consistent</v>
      </c>
      <c r="M216" s="497" t="str">
        <f t="shared" si="188"/>
        <v>Consistent</v>
      </c>
      <c r="N216" s="497" t="str">
        <f t="shared" si="188"/>
        <v>Consistent</v>
      </c>
      <c r="O216" s="497" t="str">
        <f t="shared" si="188"/>
        <v>Consistent</v>
      </c>
      <c r="P216" s="497" t="str">
        <f t="shared" si="188"/>
        <v>Consistent</v>
      </c>
      <c r="Q216" s="497" t="str">
        <f t="shared" si="188"/>
        <v>Consistent</v>
      </c>
      <c r="R216" s="497" t="str">
        <f t="shared" si="188"/>
        <v>Consistent</v>
      </c>
      <c r="S216" s="497" t="str">
        <f t="shared" si="188"/>
        <v>Consistent</v>
      </c>
      <c r="T216" s="497" t="str">
        <f t="shared" si="188"/>
        <v>Consistent</v>
      </c>
      <c r="U216" s="497" t="str">
        <f t="shared" si="188"/>
        <v>Consistent</v>
      </c>
      <c r="V216" s="497" t="str">
        <f t="shared" si="188"/>
        <v>Consistent</v>
      </c>
      <c r="W216" s="497" t="str">
        <f t="shared" si="188"/>
        <v>Consistent</v>
      </c>
      <c r="X216" s="497" t="str">
        <f t="shared" si="188"/>
        <v>Consistent</v>
      </c>
      <c r="Y216" s="497" t="str">
        <f t="shared" si="188"/>
        <v>Consistent</v>
      </c>
      <c r="Z216" s="497" t="str">
        <f t="shared" si="188"/>
        <v>Consistent</v>
      </c>
      <c r="AA216" s="497" t="str">
        <f t="shared" si="188"/>
        <v>Consistent</v>
      </c>
      <c r="AB216" s="497" t="str">
        <f t="shared" si="188"/>
        <v>Consistent</v>
      </c>
      <c r="AC216" s="497" t="str">
        <f t="shared" si="188"/>
        <v>Consistent</v>
      </c>
      <c r="AD216" s="497" t="str">
        <f t="shared" si="188"/>
        <v>Consistent</v>
      </c>
      <c r="AE216" s="497" t="str">
        <f t="shared" si="188"/>
        <v>Consistent</v>
      </c>
      <c r="AF216" s="497" t="str">
        <f t="shared" si="188"/>
        <v>Consistent</v>
      </c>
      <c r="AG216" s="497" t="str">
        <f t="shared" si="188"/>
        <v>Consistent</v>
      </c>
      <c r="AH216" s="497" t="str">
        <f t="shared" si="188"/>
        <v>Consistent</v>
      </c>
      <c r="AI216" s="497" t="str">
        <f t="shared" ref="AI216:BN216" si="189">IF(SUM(AI199:AI215)=AI152, "Consistent", "Inconsistent")</f>
        <v>Consistent</v>
      </c>
      <c r="AJ216" s="497" t="str">
        <f t="shared" si="189"/>
        <v>Consistent</v>
      </c>
      <c r="AK216" s="497" t="str">
        <f t="shared" si="189"/>
        <v>Consistent</v>
      </c>
      <c r="AL216" s="497" t="str">
        <f t="shared" si="189"/>
        <v>Consistent</v>
      </c>
      <c r="AM216" s="497" t="str">
        <f t="shared" si="189"/>
        <v>Consistent</v>
      </c>
      <c r="AN216" s="497" t="str">
        <f t="shared" si="189"/>
        <v>Consistent</v>
      </c>
      <c r="AO216" s="497" t="str">
        <f t="shared" si="189"/>
        <v>Consistent</v>
      </c>
      <c r="AP216" s="497" t="str">
        <f t="shared" si="189"/>
        <v>Consistent</v>
      </c>
      <c r="AQ216" s="497" t="str">
        <f t="shared" si="189"/>
        <v>Consistent</v>
      </c>
      <c r="AR216" s="497" t="str">
        <f t="shared" si="189"/>
        <v>Consistent</v>
      </c>
      <c r="AS216" s="497" t="str">
        <f t="shared" si="189"/>
        <v>Consistent</v>
      </c>
      <c r="AT216" s="497" t="str">
        <f t="shared" si="189"/>
        <v>Consistent</v>
      </c>
      <c r="AU216" s="497" t="str">
        <f t="shared" si="189"/>
        <v>Consistent</v>
      </c>
      <c r="AV216" s="497" t="str">
        <f t="shared" si="189"/>
        <v>Consistent</v>
      </c>
      <c r="AW216" s="497" t="str">
        <f t="shared" si="189"/>
        <v>Consistent</v>
      </c>
      <c r="AX216" s="497" t="str">
        <f t="shared" si="189"/>
        <v>Consistent</v>
      </c>
      <c r="AY216" s="497" t="str">
        <f t="shared" si="189"/>
        <v>Consistent</v>
      </c>
      <c r="AZ216" s="497" t="str">
        <f t="shared" si="189"/>
        <v>Consistent</v>
      </c>
      <c r="BA216" s="497" t="str">
        <f t="shared" si="189"/>
        <v>Consistent</v>
      </c>
      <c r="BB216" s="497" t="str">
        <f t="shared" si="189"/>
        <v>Consistent</v>
      </c>
      <c r="BC216" s="497" t="str">
        <f t="shared" si="189"/>
        <v>Consistent</v>
      </c>
      <c r="BD216" s="497" t="str">
        <f t="shared" si="189"/>
        <v>Consistent</v>
      </c>
      <c r="BE216" s="497" t="str">
        <f t="shared" si="189"/>
        <v>Consistent</v>
      </c>
      <c r="BF216" s="497" t="str">
        <f t="shared" si="189"/>
        <v>Consistent</v>
      </c>
      <c r="BG216" s="497" t="str">
        <f t="shared" si="189"/>
        <v>Consistent</v>
      </c>
      <c r="BH216" s="497" t="str">
        <f t="shared" si="189"/>
        <v>Consistent</v>
      </c>
      <c r="BI216" s="497" t="str">
        <f t="shared" si="189"/>
        <v>Consistent</v>
      </c>
      <c r="BJ216" s="497" t="str">
        <f t="shared" si="189"/>
        <v>Consistent</v>
      </c>
      <c r="BK216" s="497" t="str">
        <f t="shared" si="189"/>
        <v>Consistent</v>
      </c>
      <c r="BL216" s="497" t="str">
        <f t="shared" si="189"/>
        <v>Consistent</v>
      </c>
      <c r="BM216" s="497" t="str">
        <f t="shared" si="189"/>
        <v>Consistent</v>
      </c>
      <c r="BN216" s="497" t="str">
        <f t="shared" si="189"/>
        <v>Consistent</v>
      </c>
      <c r="BO216" s="497" t="str">
        <f t="shared" ref="BO216:CT216" si="190">IF(SUM(BO199:BO215)=BO152, "Consistent", "Inconsistent")</f>
        <v>Consistent</v>
      </c>
      <c r="BP216" s="497" t="str">
        <f t="shared" si="190"/>
        <v>Consistent</v>
      </c>
      <c r="BQ216" s="497" t="str">
        <f t="shared" si="190"/>
        <v>Consistent</v>
      </c>
      <c r="BR216" s="497" t="str">
        <f t="shared" si="190"/>
        <v>Consistent</v>
      </c>
      <c r="BS216" s="497" t="str">
        <f t="shared" si="190"/>
        <v>Consistent</v>
      </c>
      <c r="BT216" s="497" t="str">
        <f t="shared" si="190"/>
        <v>Consistent</v>
      </c>
      <c r="BU216" s="497" t="str">
        <f t="shared" si="190"/>
        <v>Consistent</v>
      </c>
      <c r="BV216" s="497" t="str">
        <f t="shared" si="190"/>
        <v>Consistent</v>
      </c>
      <c r="BW216" s="497" t="str">
        <f t="shared" si="190"/>
        <v>Consistent</v>
      </c>
      <c r="BX216" s="497" t="str">
        <f t="shared" si="190"/>
        <v>Consistent</v>
      </c>
      <c r="BY216" s="497" t="str">
        <f t="shared" si="190"/>
        <v>Consistent</v>
      </c>
      <c r="BZ216" s="497" t="str">
        <f t="shared" si="190"/>
        <v>Consistent</v>
      </c>
      <c r="CA216" s="497" t="str">
        <f t="shared" si="190"/>
        <v>Consistent</v>
      </c>
      <c r="CB216" s="497" t="str">
        <f t="shared" si="190"/>
        <v>Consistent</v>
      </c>
      <c r="CC216" s="497" t="str">
        <f t="shared" si="190"/>
        <v>Consistent</v>
      </c>
      <c r="CD216" s="497" t="str">
        <f t="shared" si="190"/>
        <v>Consistent</v>
      </c>
      <c r="CE216" s="497" t="str">
        <f t="shared" si="190"/>
        <v>Consistent</v>
      </c>
      <c r="CF216" s="497" t="str">
        <f t="shared" si="190"/>
        <v>Consistent</v>
      </c>
      <c r="CG216" s="497" t="str">
        <f t="shared" si="190"/>
        <v>Consistent</v>
      </c>
      <c r="CH216" s="497" t="str">
        <f t="shared" si="190"/>
        <v>Consistent</v>
      </c>
      <c r="CI216" s="497" t="str">
        <f t="shared" si="190"/>
        <v>Consistent</v>
      </c>
      <c r="CJ216" s="497" t="str">
        <f t="shared" si="190"/>
        <v>Consistent</v>
      </c>
      <c r="CK216" s="497" t="str">
        <f t="shared" si="190"/>
        <v>Consistent</v>
      </c>
      <c r="CL216" s="497" t="str">
        <f t="shared" si="190"/>
        <v>Consistent</v>
      </c>
      <c r="CM216" s="497" t="str">
        <f t="shared" si="190"/>
        <v>Consistent</v>
      </c>
      <c r="CN216" s="497" t="str">
        <f t="shared" si="190"/>
        <v>Consistent</v>
      </c>
      <c r="CO216" s="497" t="str">
        <f t="shared" si="190"/>
        <v>Consistent</v>
      </c>
      <c r="CP216" s="497" t="str">
        <f t="shared" si="190"/>
        <v>Consistent</v>
      </c>
      <c r="CQ216" s="497" t="str">
        <f t="shared" si="190"/>
        <v>Consistent</v>
      </c>
      <c r="CR216" s="497" t="str">
        <f t="shared" si="190"/>
        <v>Consistent</v>
      </c>
      <c r="CS216" s="497" t="str">
        <f t="shared" si="190"/>
        <v>Consistent</v>
      </c>
      <c r="CT216" s="497" t="str">
        <f t="shared" si="190"/>
        <v>Consistent</v>
      </c>
      <c r="CU216" s="497" t="str">
        <f t="shared" ref="CU216:DZ216" si="191">IF(SUM(CU199:CU215)=CU152, "Consistent", "Inconsistent")</f>
        <v>Consistent</v>
      </c>
      <c r="CV216" s="497" t="str">
        <f t="shared" si="191"/>
        <v>Consistent</v>
      </c>
      <c r="CW216" s="497" t="str">
        <f t="shared" si="191"/>
        <v>Consistent</v>
      </c>
      <c r="CX216" s="497" t="str">
        <f t="shared" si="191"/>
        <v>Consistent</v>
      </c>
      <c r="CY216" s="497" t="str">
        <f t="shared" si="191"/>
        <v>Consistent</v>
      </c>
      <c r="CZ216" s="497" t="str">
        <f t="shared" si="191"/>
        <v>Consistent</v>
      </c>
      <c r="DA216" s="497" t="str">
        <f t="shared" si="191"/>
        <v>Consistent</v>
      </c>
      <c r="DB216" s="497" t="str">
        <f t="shared" si="191"/>
        <v>Consistent</v>
      </c>
      <c r="DC216" s="497" t="str">
        <f t="shared" si="191"/>
        <v>Consistent</v>
      </c>
      <c r="DD216" s="497" t="str">
        <f t="shared" si="191"/>
        <v>Consistent</v>
      </c>
      <c r="DE216" s="497" t="str">
        <f t="shared" si="191"/>
        <v>Consistent</v>
      </c>
      <c r="DF216" s="497" t="str">
        <f t="shared" si="191"/>
        <v>Consistent</v>
      </c>
      <c r="DG216" s="497" t="str">
        <f t="shared" si="191"/>
        <v>Consistent</v>
      </c>
      <c r="DH216" s="497" t="str">
        <f t="shared" si="191"/>
        <v>Consistent</v>
      </c>
      <c r="DI216" s="497" t="str">
        <f t="shared" si="191"/>
        <v>Consistent</v>
      </c>
      <c r="DJ216" s="497" t="str">
        <f t="shared" si="191"/>
        <v>Consistent</v>
      </c>
      <c r="DK216" s="497" t="str">
        <f t="shared" si="191"/>
        <v>Consistent</v>
      </c>
      <c r="DL216" s="497" t="str">
        <f t="shared" si="191"/>
        <v>Consistent</v>
      </c>
      <c r="DM216" s="497" t="str">
        <f t="shared" si="191"/>
        <v>Consistent</v>
      </c>
      <c r="DN216" s="497" t="str">
        <f t="shared" si="191"/>
        <v>Consistent</v>
      </c>
      <c r="DO216" s="497" t="str">
        <f t="shared" si="191"/>
        <v>Consistent</v>
      </c>
      <c r="DP216" s="497" t="str">
        <f t="shared" si="191"/>
        <v>Consistent</v>
      </c>
      <c r="DQ216" s="497" t="str">
        <f t="shared" si="191"/>
        <v>Consistent</v>
      </c>
      <c r="DR216" s="497" t="str">
        <f t="shared" si="191"/>
        <v>Consistent</v>
      </c>
      <c r="DS216" s="497" t="str">
        <f t="shared" si="191"/>
        <v>Consistent</v>
      </c>
      <c r="DT216" s="497" t="str">
        <f t="shared" si="191"/>
        <v>Consistent</v>
      </c>
      <c r="DU216" s="497" t="str">
        <f t="shared" si="191"/>
        <v>Consistent</v>
      </c>
      <c r="DV216" s="497" t="str">
        <f t="shared" si="191"/>
        <v>Consistent</v>
      </c>
      <c r="DW216" s="497" t="str">
        <f t="shared" si="191"/>
        <v>Consistent</v>
      </c>
      <c r="DX216" s="497" t="str">
        <f t="shared" si="191"/>
        <v>Consistent</v>
      </c>
      <c r="DY216" s="497" t="str">
        <f t="shared" si="191"/>
        <v>Consistent</v>
      </c>
      <c r="DZ216" s="497" t="str">
        <f t="shared" si="191"/>
        <v>Consistent</v>
      </c>
      <c r="EA216" s="497" t="str">
        <f t="shared" ref="EA216:EI216" si="192">IF(SUM(EA199:EA215)=EA152, "Consistent", "Inconsistent")</f>
        <v>Consistent</v>
      </c>
      <c r="EB216" s="497" t="str">
        <f t="shared" si="192"/>
        <v>Consistent</v>
      </c>
      <c r="EC216" s="497" t="str">
        <f t="shared" si="192"/>
        <v>Consistent</v>
      </c>
      <c r="ED216" s="497" t="str">
        <f t="shared" si="192"/>
        <v>Consistent</v>
      </c>
      <c r="EE216" s="497" t="str">
        <f t="shared" si="192"/>
        <v>Consistent</v>
      </c>
      <c r="EF216" s="497" t="str">
        <f t="shared" si="192"/>
        <v>Consistent</v>
      </c>
      <c r="EG216" s="497" t="str">
        <f t="shared" si="192"/>
        <v>Consistent</v>
      </c>
      <c r="EH216" s="497" t="str">
        <f t="shared" si="192"/>
        <v>Consistent</v>
      </c>
      <c r="EI216" s="497" t="str">
        <f t="shared" si="192"/>
        <v>Consistent</v>
      </c>
      <c r="EJ216" s="496">
        <f>SUM(EJ199:EJ215)</f>
        <v>475991496.18566662</v>
      </c>
    </row>
    <row r="217" spans="1:156">
      <c r="B217" s="462"/>
      <c r="E217"/>
      <c r="EJ217" s="370"/>
      <c r="EK217" s="67"/>
      <c r="EL217" s="67"/>
      <c r="EM217" s="67"/>
      <c r="EN217" s="67"/>
      <c r="EO217" s="67"/>
      <c r="EP217" s="67"/>
      <c r="EQ217" s="67"/>
      <c r="ER217" s="67"/>
      <c r="ES217" s="67"/>
      <c r="ET217" s="67"/>
      <c r="EU217" s="67"/>
      <c r="EV217" s="67"/>
      <c r="EW217" s="67"/>
      <c r="EX217" s="67"/>
      <c r="EY217" s="67"/>
      <c r="EZ217" s="67"/>
    </row>
    <row r="218" spans="1:156">
      <c r="A218" s="99"/>
      <c r="B218" s="502" t="s">
        <v>777</v>
      </c>
      <c r="C218" s="99"/>
      <c r="D218" s="99"/>
      <c r="E218" s="99"/>
      <c r="F218" s="99"/>
      <c r="G218" s="99"/>
      <c r="H218" s="99"/>
      <c r="I218" s="99"/>
      <c r="J218" s="99"/>
      <c r="K218" s="99"/>
      <c r="L218" s="99"/>
      <c r="M218" s="99"/>
      <c r="N218" s="99"/>
      <c r="O218" s="99"/>
      <c r="P218" s="99"/>
      <c r="Q218" s="99"/>
      <c r="R218" s="99"/>
      <c r="S218" s="99"/>
      <c r="T218" s="99"/>
      <c r="U218" s="99"/>
      <c r="V218" s="99"/>
      <c r="W218" s="99"/>
      <c r="X218" s="99"/>
      <c r="Y218" s="99"/>
      <c r="Z218" s="99"/>
      <c r="AA218" s="99"/>
      <c r="AB218" s="99"/>
      <c r="AC218" s="99"/>
      <c r="AD218" s="99"/>
      <c r="AE218" s="99"/>
      <c r="AF218" s="99"/>
      <c r="AG218" s="99"/>
      <c r="AH218" s="99"/>
      <c r="AI218" s="99"/>
      <c r="AJ218" s="99"/>
      <c r="AK218" s="99"/>
      <c r="AL218" s="99"/>
      <c r="AM218" s="99"/>
      <c r="AN218" s="99"/>
      <c r="AO218" s="99"/>
      <c r="AP218" s="99"/>
      <c r="AQ218" s="99"/>
      <c r="AR218" s="99"/>
      <c r="AS218" s="99"/>
      <c r="AT218" s="99"/>
      <c r="AU218" s="99"/>
      <c r="AV218" s="99"/>
      <c r="AW218" s="99"/>
      <c r="AX218" s="99"/>
      <c r="AY218" s="99"/>
      <c r="AZ218" s="99"/>
      <c r="BA218" s="99"/>
      <c r="BB218" s="99"/>
      <c r="BC218" s="99"/>
      <c r="BD218" s="99"/>
      <c r="BE218" s="99"/>
      <c r="BF218" s="99"/>
      <c r="BG218" s="99"/>
      <c r="BH218" s="99"/>
      <c r="BI218" s="99"/>
      <c r="BJ218" s="99"/>
      <c r="BK218" s="99"/>
      <c r="BL218" s="99"/>
      <c r="BM218" s="99"/>
      <c r="BN218" s="99"/>
      <c r="BO218" s="99"/>
      <c r="BP218" s="99"/>
      <c r="BQ218" s="99"/>
      <c r="BR218" s="99"/>
      <c r="BS218" s="99"/>
      <c r="BT218" s="99"/>
      <c r="BU218" s="99"/>
      <c r="BV218" s="99"/>
      <c r="BW218" s="99"/>
      <c r="BX218" s="99"/>
      <c r="BY218" s="99"/>
      <c r="BZ218" s="99"/>
      <c r="CA218" s="99"/>
      <c r="CB218" s="99"/>
      <c r="CC218" s="99"/>
      <c r="CD218" s="99"/>
      <c r="CE218" s="99"/>
      <c r="CF218" s="99"/>
      <c r="CG218" s="99"/>
      <c r="CH218" s="99"/>
      <c r="CI218" s="99"/>
      <c r="CJ218" s="99"/>
      <c r="CK218" s="99"/>
      <c r="CL218" s="99"/>
      <c r="CM218" s="99"/>
      <c r="CN218" s="99"/>
      <c r="CO218" s="99"/>
      <c r="CP218" s="99"/>
      <c r="CQ218" s="99"/>
      <c r="CR218" s="99"/>
      <c r="CS218" s="99"/>
      <c r="CT218" s="99"/>
      <c r="CU218" s="99"/>
      <c r="CV218" s="99"/>
      <c r="CW218" s="99"/>
      <c r="CX218" s="99"/>
      <c r="CY218" s="99"/>
      <c r="CZ218" s="99"/>
      <c r="DA218" s="99"/>
      <c r="DB218" s="99"/>
      <c r="DC218" s="99"/>
      <c r="DD218" s="99"/>
      <c r="DE218" s="99"/>
      <c r="DF218" s="99"/>
      <c r="DG218" s="99"/>
      <c r="DH218" s="99"/>
      <c r="DI218" s="99"/>
      <c r="DJ218" s="99"/>
      <c r="DK218" s="99"/>
      <c r="DL218" s="99"/>
      <c r="DM218" s="99"/>
      <c r="DN218" s="99"/>
      <c r="DO218" s="99"/>
      <c r="DP218" s="99"/>
      <c r="DQ218" s="99"/>
      <c r="DR218" s="99"/>
      <c r="DS218" s="99"/>
      <c r="DT218" s="99"/>
      <c r="DU218" s="99"/>
      <c r="DV218" s="99"/>
      <c r="DW218" s="99"/>
      <c r="DX218" s="99"/>
      <c r="DY218" s="99"/>
      <c r="DZ218" s="99"/>
      <c r="EA218" s="99"/>
      <c r="EB218" s="99"/>
      <c r="EC218" s="99"/>
      <c r="ED218" s="99"/>
      <c r="EE218" s="99"/>
      <c r="EF218" s="99"/>
      <c r="EG218" s="99"/>
      <c r="EH218" s="99"/>
      <c r="EI218" s="99"/>
      <c r="EJ218" s="501"/>
      <c r="EK218" s="67"/>
      <c r="EL218" s="67"/>
      <c r="EM218" s="67"/>
      <c r="EN218" s="67"/>
      <c r="EO218" s="67"/>
      <c r="EP218" s="67"/>
      <c r="EQ218" s="67"/>
      <c r="ER218" s="67"/>
      <c r="ES218" s="67"/>
      <c r="ET218" s="67"/>
      <c r="EU218" s="67"/>
      <c r="EV218" s="67"/>
      <c r="EW218" s="67"/>
      <c r="EX218" s="67"/>
      <c r="EY218" s="67"/>
      <c r="EZ218" s="67"/>
    </row>
    <row r="219" spans="1:156">
      <c r="B219" s="500" t="s">
        <v>98</v>
      </c>
      <c r="C219" s="499" t="str">
        <f t="shared" ref="C219:AH219" si="193">IF(C159=1, C$153/C$156, "")</f>
        <v/>
      </c>
      <c r="D219" s="499">
        <f t="shared" si="193"/>
        <v>1361409</v>
      </c>
      <c r="E219" s="499">
        <f t="shared" si="193"/>
        <v>243125</v>
      </c>
      <c r="F219" s="499">
        <f t="shared" si="193"/>
        <v>822.66666666666663</v>
      </c>
      <c r="G219" s="499" t="str">
        <f t="shared" si="193"/>
        <v/>
      </c>
      <c r="H219" s="499">
        <f t="shared" si="193"/>
        <v>17291.6875</v>
      </c>
      <c r="I219" s="499">
        <f t="shared" si="193"/>
        <v>53537.666666666664</v>
      </c>
      <c r="J219" s="499">
        <f t="shared" si="193"/>
        <v>68873.333333333328</v>
      </c>
      <c r="K219" s="499" t="str">
        <f t="shared" si="193"/>
        <v/>
      </c>
      <c r="L219" s="499" t="str">
        <f t="shared" si="193"/>
        <v/>
      </c>
      <c r="M219" s="499">
        <f t="shared" si="193"/>
        <v>461298.15</v>
      </c>
      <c r="N219" s="499" t="str">
        <f t="shared" si="193"/>
        <v/>
      </c>
      <c r="O219" s="499" t="str">
        <f t="shared" si="193"/>
        <v/>
      </c>
      <c r="P219" s="499" t="str">
        <f t="shared" si="193"/>
        <v/>
      </c>
      <c r="Q219" s="499" t="str">
        <f t="shared" si="193"/>
        <v/>
      </c>
      <c r="R219" s="499">
        <f t="shared" si="193"/>
        <v>2247827.9950000001</v>
      </c>
      <c r="S219" s="499" t="str">
        <f t="shared" si="193"/>
        <v/>
      </c>
      <c r="T219" s="499" t="str">
        <f t="shared" si="193"/>
        <v/>
      </c>
      <c r="U219" s="499" t="str">
        <f t="shared" si="193"/>
        <v/>
      </c>
      <c r="V219" s="499" t="str">
        <f t="shared" si="193"/>
        <v/>
      </c>
      <c r="W219" s="499">
        <f t="shared" si="193"/>
        <v>15000</v>
      </c>
      <c r="X219" s="499">
        <f t="shared" si="193"/>
        <v>1972167.5</v>
      </c>
      <c r="Y219" s="499">
        <f t="shared" si="193"/>
        <v>9889.6666666666661</v>
      </c>
      <c r="Z219" s="499" t="str">
        <f t="shared" si="193"/>
        <v/>
      </c>
      <c r="AA219" s="499" t="str">
        <f t="shared" si="193"/>
        <v/>
      </c>
      <c r="AB219" s="499" t="str">
        <f t="shared" si="193"/>
        <v/>
      </c>
      <c r="AC219" s="499" t="str">
        <f t="shared" si="193"/>
        <v/>
      </c>
      <c r="AD219" s="499" t="str">
        <f t="shared" si="193"/>
        <v/>
      </c>
      <c r="AE219" s="499" t="str">
        <f t="shared" si="193"/>
        <v/>
      </c>
      <c r="AF219" s="499" t="str">
        <f t="shared" si="193"/>
        <v/>
      </c>
      <c r="AG219" s="499" t="str">
        <f t="shared" si="193"/>
        <v/>
      </c>
      <c r="AH219" s="499">
        <f t="shared" si="193"/>
        <v>543855.19999999995</v>
      </c>
      <c r="AI219" s="499" t="str">
        <f t="shared" ref="AI219:BN219" si="194">IF(AI159=1, AI$153/AI$156, "")</f>
        <v/>
      </c>
      <c r="AJ219" s="499">
        <f t="shared" si="194"/>
        <v>502016.5228571429</v>
      </c>
      <c r="AK219" s="499" t="str">
        <f t="shared" si="194"/>
        <v/>
      </c>
      <c r="AL219" s="499" t="str">
        <f t="shared" si="194"/>
        <v/>
      </c>
      <c r="AM219" s="499" t="str">
        <f t="shared" si="194"/>
        <v/>
      </c>
      <c r="AN219" s="499">
        <f t="shared" si="194"/>
        <v>84958.095714285722</v>
      </c>
      <c r="AO219" s="499" t="str">
        <f t="shared" si="194"/>
        <v/>
      </c>
      <c r="AP219" s="499" t="str">
        <f t="shared" si="194"/>
        <v/>
      </c>
      <c r="AQ219" s="499" t="str">
        <f t="shared" si="194"/>
        <v/>
      </c>
      <c r="AR219" s="499" t="str">
        <f t="shared" si="194"/>
        <v/>
      </c>
      <c r="AS219" s="499" t="str">
        <f t="shared" si="194"/>
        <v/>
      </c>
      <c r="AT219" s="499" t="str">
        <f t="shared" si="194"/>
        <v/>
      </c>
      <c r="AU219" s="499" t="str">
        <f t="shared" si="194"/>
        <v/>
      </c>
      <c r="AV219" s="499" t="str">
        <f t="shared" si="194"/>
        <v/>
      </c>
      <c r="AW219" s="499">
        <f t="shared" si="194"/>
        <v>2102.5</v>
      </c>
      <c r="AX219" s="499" t="str">
        <f t="shared" si="194"/>
        <v/>
      </c>
      <c r="AY219" s="499">
        <f t="shared" si="194"/>
        <v>203632.5625</v>
      </c>
      <c r="AZ219" s="499">
        <f t="shared" si="194"/>
        <v>70459</v>
      </c>
      <c r="BA219" s="499">
        <f t="shared" si="194"/>
        <v>5607.1428571428569</v>
      </c>
      <c r="BB219" s="499">
        <f t="shared" si="194"/>
        <v>28478.4375</v>
      </c>
      <c r="BC219" s="499" t="str">
        <f t="shared" si="194"/>
        <v/>
      </c>
      <c r="BD219" s="499" t="str">
        <f t="shared" si="194"/>
        <v/>
      </c>
      <c r="BE219" s="499" t="str">
        <f t="shared" si="194"/>
        <v/>
      </c>
      <c r="BF219" s="499" t="str">
        <f t="shared" si="194"/>
        <v/>
      </c>
      <c r="BG219" s="499" t="str">
        <f t="shared" si="194"/>
        <v/>
      </c>
      <c r="BH219" s="499" t="str">
        <f t="shared" si="194"/>
        <v/>
      </c>
      <c r="BI219" s="499" t="str">
        <f t="shared" si="194"/>
        <v/>
      </c>
      <c r="BJ219" s="499" t="str">
        <f t="shared" si="194"/>
        <v/>
      </c>
      <c r="BK219" s="499">
        <f t="shared" si="194"/>
        <v>312333.33333333331</v>
      </c>
      <c r="BL219" s="499" t="str">
        <f t="shared" si="194"/>
        <v/>
      </c>
      <c r="BM219" s="499" t="str">
        <f t="shared" si="194"/>
        <v/>
      </c>
      <c r="BN219" s="499" t="str">
        <f t="shared" si="194"/>
        <v/>
      </c>
      <c r="BO219" s="499" t="str">
        <f t="shared" ref="BO219:CT219" si="195">IF(BO159=1, BO$153/BO$156, "")</f>
        <v/>
      </c>
      <c r="BP219" s="499">
        <f t="shared" si="195"/>
        <v>972706.25</v>
      </c>
      <c r="BQ219" s="499" t="str">
        <f t="shared" si="195"/>
        <v/>
      </c>
      <c r="BR219" s="499" t="str">
        <f t="shared" si="195"/>
        <v/>
      </c>
      <c r="BS219" s="499" t="str">
        <f t="shared" si="195"/>
        <v/>
      </c>
      <c r="BT219" s="499">
        <f t="shared" si="195"/>
        <v>516090</v>
      </c>
      <c r="BU219" s="499" t="str">
        <f t="shared" si="195"/>
        <v/>
      </c>
      <c r="BV219" s="499" t="str">
        <f t="shared" si="195"/>
        <v/>
      </c>
      <c r="BW219" s="499" t="str">
        <f t="shared" si="195"/>
        <v/>
      </c>
      <c r="BX219" s="499" t="str">
        <f t="shared" si="195"/>
        <v/>
      </c>
      <c r="BY219" s="499">
        <f t="shared" si="195"/>
        <v>1484.3333333333333</v>
      </c>
      <c r="BZ219" s="499" t="str">
        <f t="shared" si="195"/>
        <v/>
      </c>
      <c r="CA219" s="499" t="str">
        <f t="shared" si="195"/>
        <v/>
      </c>
      <c r="CB219" s="499">
        <f t="shared" si="195"/>
        <v>120308.80952380951</v>
      </c>
      <c r="CC219" s="499" t="str">
        <f t="shared" si="195"/>
        <v/>
      </c>
      <c r="CD219" s="499" t="str">
        <f t="shared" si="195"/>
        <v/>
      </c>
      <c r="CE219" s="499" t="str">
        <f t="shared" si="195"/>
        <v/>
      </c>
      <c r="CF219" s="499" t="str">
        <f t="shared" si="195"/>
        <v/>
      </c>
      <c r="CG219" s="499" t="str">
        <f t="shared" si="195"/>
        <v/>
      </c>
      <c r="CH219" s="499" t="str">
        <f t="shared" si="195"/>
        <v/>
      </c>
      <c r="CI219" s="499" t="str">
        <f t="shared" si="195"/>
        <v/>
      </c>
      <c r="CJ219" s="499">
        <f t="shared" si="195"/>
        <v>807000</v>
      </c>
      <c r="CK219" s="499">
        <f t="shared" si="195"/>
        <v>433107.22222222225</v>
      </c>
      <c r="CL219" s="499" t="str">
        <f t="shared" si="195"/>
        <v/>
      </c>
      <c r="CM219" s="499" t="str">
        <f t="shared" si="195"/>
        <v/>
      </c>
      <c r="CN219" s="499" t="str">
        <f t="shared" si="195"/>
        <v/>
      </c>
      <c r="CO219" s="499" t="str">
        <f t="shared" si="195"/>
        <v/>
      </c>
      <c r="CP219" s="499">
        <f t="shared" si="195"/>
        <v>684050</v>
      </c>
      <c r="CQ219" s="499" t="str">
        <f t="shared" si="195"/>
        <v/>
      </c>
      <c r="CR219" s="499" t="str">
        <f t="shared" si="195"/>
        <v/>
      </c>
      <c r="CS219" s="499" t="str">
        <f t="shared" si="195"/>
        <v/>
      </c>
      <c r="CT219" s="499">
        <f t="shared" si="195"/>
        <v>808779</v>
      </c>
      <c r="CU219" s="499" t="str">
        <f t="shared" ref="CU219:DZ219" si="196">IF(CU159=1, CU$153/CU$156, "")</f>
        <v/>
      </c>
      <c r="CV219" s="499">
        <f t="shared" si="196"/>
        <v>7821</v>
      </c>
      <c r="CW219" s="499" t="str">
        <f t="shared" si="196"/>
        <v/>
      </c>
      <c r="CX219" s="499">
        <f t="shared" si="196"/>
        <v>67498.438000000009</v>
      </c>
      <c r="CY219" s="499">
        <f t="shared" si="196"/>
        <v>2268.6666666666665</v>
      </c>
      <c r="CZ219" s="499">
        <f t="shared" si="196"/>
        <v>2435.6666666666665</v>
      </c>
      <c r="DA219" s="499">
        <f t="shared" si="196"/>
        <v>73500</v>
      </c>
      <c r="DB219" s="499" t="str">
        <f t="shared" si="196"/>
        <v/>
      </c>
      <c r="DC219" s="499">
        <f t="shared" si="196"/>
        <v>275823.3125</v>
      </c>
      <c r="DD219" s="499">
        <f t="shared" si="196"/>
        <v>5426903.333333333</v>
      </c>
      <c r="DE219" s="499">
        <f t="shared" si="196"/>
        <v>570383.32615384622</v>
      </c>
      <c r="DF219" s="499" t="str">
        <f t="shared" si="196"/>
        <v/>
      </c>
      <c r="DG219" s="499" t="str">
        <f t="shared" si="196"/>
        <v/>
      </c>
      <c r="DH219" s="499">
        <f t="shared" si="196"/>
        <v>75469.952428571429</v>
      </c>
      <c r="DI219" s="499" t="str">
        <f t="shared" si="196"/>
        <v/>
      </c>
      <c r="DJ219" s="499" t="str">
        <f t="shared" si="196"/>
        <v/>
      </c>
      <c r="DK219" s="499">
        <f t="shared" si="196"/>
        <v>375</v>
      </c>
      <c r="DL219" s="499" t="str">
        <f t="shared" si="196"/>
        <v/>
      </c>
      <c r="DM219" s="499" t="str">
        <f t="shared" si="196"/>
        <v/>
      </c>
      <c r="DN219" s="499" t="str">
        <f t="shared" si="196"/>
        <v/>
      </c>
      <c r="DO219" s="499" t="str">
        <f t="shared" si="196"/>
        <v/>
      </c>
      <c r="DP219" s="499" t="str">
        <f t="shared" si="196"/>
        <v/>
      </c>
      <c r="DQ219" s="499" t="str">
        <f t="shared" si="196"/>
        <v/>
      </c>
      <c r="DR219" s="499">
        <f t="shared" si="196"/>
        <v>2641751</v>
      </c>
      <c r="DS219" s="499">
        <f t="shared" si="196"/>
        <v>621000</v>
      </c>
      <c r="DT219" s="499" t="str">
        <f t="shared" si="196"/>
        <v/>
      </c>
      <c r="DU219" s="499" t="str">
        <f t="shared" si="196"/>
        <v/>
      </c>
      <c r="DV219" s="499" t="str">
        <f t="shared" si="196"/>
        <v/>
      </c>
      <c r="DW219" s="499" t="str">
        <f t="shared" si="196"/>
        <v/>
      </c>
      <c r="DX219" s="499">
        <f t="shared" si="196"/>
        <v>9023601.5</v>
      </c>
      <c r="DY219" s="499" t="str">
        <f t="shared" si="196"/>
        <v/>
      </c>
      <c r="DZ219" s="499" t="str">
        <f t="shared" si="196"/>
        <v/>
      </c>
      <c r="EA219" s="499" t="str">
        <f t="shared" ref="EA219:EI219" si="197">IF(EA159=1, EA$153/EA$156, "")</f>
        <v/>
      </c>
      <c r="EB219" s="499" t="str">
        <f t="shared" si="197"/>
        <v/>
      </c>
      <c r="EC219" s="499" t="str">
        <f t="shared" si="197"/>
        <v/>
      </c>
      <c r="ED219" s="499" t="str">
        <f t="shared" si="197"/>
        <v/>
      </c>
      <c r="EE219" s="499">
        <f t="shared" si="197"/>
        <v>3138840.7142857141</v>
      </c>
      <c r="EF219" s="499" t="str">
        <f t="shared" si="197"/>
        <v/>
      </c>
      <c r="EG219" s="499" t="str">
        <f t="shared" si="197"/>
        <v/>
      </c>
      <c r="EH219" s="499" t="str">
        <f t="shared" si="197"/>
        <v/>
      </c>
      <c r="EI219" s="499" t="str">
        <f t="shared" si="197"/>
        <v/>
      </c>
      <c r="EJ219" s="499">
        <f t="shared" ref="EJ219:EJ235" si="198">SUM(C219:EI219)</f>
        <v>34475882.985709399</v>
      </c>
      <c r="EK219" s="67"/>
      <c r="EL219" s="67"/>
      <c r="EM219" s="67"/>
      <c r="EN219" s="67"/>
      <c r="EO219" s="67"/>
      <c r="EP219" s="67"/>
      <c r="EQ219" s="67"/>
      <c r="ER219" s="67"/>
      <c r="ES219" s="67"/>
      <c r="ET219" s="67"/>
      <c r="EU219" s="67"/>
      <c r="EV219" s="67"/>
      <c r="EW219" s="67"/>
      <c r="EX219" s="67"/>
      <c r="EY219" s="67"/>
      <c r="EZ219" s="67"/>
    </row>
    <row r="220" spans="1:156">
      <c r="B220" s="500" t="s">
        <v>92</v>
      </c>
      <c r="C220" s="499">
        <f t="shared" ref="C220:AH220" si="199">IF(C160=1, C$153/C$156, "")</f>
        <v>731779.5</v>
      </c>
      <c r="D220" s="499" t="str">
        <f t="shared" si="199"/>
        <v/>
      </c>
      <c r="E220" s="499" t="str">
        <f t="shared" si="199"/>
        <v/>
      </c>
      <c r="F220" s="499">
        <f t="shared" si="199"/>
        <v>822.66666666666663</v>
      </c>
      <c r="G220" s="499" t="str">
        <f t="shared" si="199"/>
        <v/>
      </c>
      <c r="H220" s="499">
        <f t="shared" si="199"/>
        <v>17291.6875</v>
      </c>
      <c r="I220" s="499">
        <f t="shared" si="199"/>
        <v>53537.666666666664</v>
      </c>
      <c r="J220" s="499">
        <f t="shared" si="199"/>
        <v>68873.333333333328</v>
      </c>
      <c r="K220" s="499" t="str">
        <f t="shared" si="199"/>
        <v/>
      </c>
      <c r="L220" s="499" t="str">
        <f t="shared" si="199"/>
        <v/>
      </c>
      <c r="M220" s="499" t="str">
        <f t="shared" si="199"/>
        <v/>
      </c>
      <c r="N220" s="499" t="str">
        <f t="shared" si="199"/>
        <v/>
      </c>
      <c r="O220" s="499" t="str">
        <f t="shared" si="199"/>
        <v/>
      </c>
      <c r="P220" s="499" t="str">
        <f t="shared" si="199"/>
        <v/>
      </c>
      <c r="Q220" s="499" t="str">
        <f t="shared" si="199"/>
        <v/>
      </c>
      <c r="R220" s="499">
        <f t="shared" si="199"/>
        <v>2247827.9950000001</v>
      </c>
      <c r="S220" s="499" t="str">
        <f t="shared" si="199"/>
        <v/>
      </c>
      <c r="T220" s="499" t="str">
        <f t="shared" si="199"/>
        <v/>
      </c>
      <c r="U220" s="499" t="str">
        <f t="shared" si="199"/>
        <v/>
      </c>
      <c r="V220" s="499" t="str">
        <f t="shared" si="199"/>
        <v/>
      </c>
      <c r="W220" s="499">
        <f t="shared" si="199"/>
        <v>15000</v>
      </c>
      <c r="X220" s="499">
        <f t="shared" si="199"/>
        <v>1972167.5</v>
      </c>
      <c r="Y220" s="499">
        <f t="shared" si="199"/>
        <v>9889.6666666666661</v>
      </c>
      <c r="Z220" s="499" t="str">
        <f t="shared" si="199"/>
        <v/>
      </c>
      <c r="AA220" s="499" t="str">
        <f t="shared" si="199"/>
        <v/>
      </c>
      <c r="AB220" s="499" t="str">
        <f t="shared" si="199"/>
        <v/>
      </c>
      <c r="AC220" s="499">
        <f t="shared" si="199"/>
        <v>394200</v>
      </c>
      <c r="AD220" s="499" t="str">
        <f t="shared" si="199"/>
        <v/>
      </c>
      <c r="AE220" s="499" t="str">
        <f t="shared" si="199"/>
        <v/>
      </c>
      <c r="AF220" s="499" t="str">
        <f t="shared" si="199"/>
        <v/>
      </c>
      <c r="AG220" s="499" t="str">
        <f t="shared" si="199"/>
        <v/>
      </c>
      <c r="AH220" s="499">
        <f t="shared" si="199"/>
        <v>543855.19999999995</v>
      </c>
      <c r="AI220" s="499" t="str">
        <f t="shared" ref="AI220:BN220" si="200">IF(AI160=1, AI$153/AI$156, "")</f>
        <v/>
      </c>
      <c r="AJ220" s="499">
        <f t="shared" si="200"/>
        <v>502016.5228571429</v>
      </c>
      <c r="AK220" s="499" t="str">
        <f t="shared" si="200"/>
        <v/>
      </c>
      <c r="AL220" s="499" t="str">
        <f t="shared" si="200"/>
        <v/>
      </c>
      <c r="AM220" s="499" t="str">
        <f t="shared" si="200"/>
        <v/>
      </c>
      <c r="AN220" s="499">
        <f t="shared" si="200"/>
        <v>84958.095714285722</v>
      </c>
      <c r="AO220" s="499" t="str">
        <f t="shared" si="200"/>
        <v/>
      </c>
      <c r="AP220" s="499" t="str">
        <f t="shared" si="200"/>
        <v/>
      </c>
      <c r="AQ220" s="499" t="str">
        <f t="shared" si="200"/>
        <v/>
      </c>
      <c r="AR220" s="499" t="str">
        <f t="shared" si="200"/>
        <v/>
      </c>
      <c r="AS220" s="499" t="str">
        <f t="shared" si="200"/>
        <v/>
      </c>
      <c r="AT220" s="499" t="str">
        <f t="shared" si="200"/>
        <v/>
      </c>
      <c r="AU220" s="499" t="str">
        <f t="shared" si="200"/>
        <v/>
      </c>
      <c r="AV220" s="499" t="str">
        <f t="shared" si="200"/>
        <v/>
      </c>
      <c r="AW220" s="499" t="str">
        <f t="shared" si="200"/>
        <v/>
      </c>
      <c r="AX220" s="499" t="str">
        <f t="shared" si="200"/>
        <v/>
      </c>
      <c r="AY220" s="499">
        <f t="shared" si="200"/>
        <v>203632.5625</v>
      </c>
      <c r="AZ220" s="499">
        <f t="shared" si="200"/>
        <v>70459</v>
      </c>
      <c r="BA220" s="499">
        <f t="shared" si="200"/>
        <v>5607.1428571428569</v>
      </c>
      <c r="BB220" s="499">
        <f t="shared" si="200"/>
        <v>28478.4375</v>
      </c>
      <c r="BC220" s="499" t="str">
        <f t="shared" si="200"/>
        <v/>
      </c>
      <c r="BD220" s="499" t="str">
        <f t="shared" si="200"/>
        <v/>
      </c>
      <c r="BE220" s="499">
        <f t="shared" si="200"/>
        <v>8400</v>
      </c>
      <c r="BF220" s="499" t="str">
        <f t="shared" si="200"/>
        <v/>
      </c>
      <c r="BG220" s="499">
        <f t="shared" si="200"/>
        <v>657125</v>
      </c>
      <c r="BH220" s="499" t="str">
        <f t="shared" si="200"/>
        <v/>
      </c>
      <c r="BI220" s="499" t="str">
        <f t="shared" si="200"/>
        <v/>
      </c>
      <c r="BJ220" s="499" t="str">
        <f t="shared" si="200"/>
        <v/>
      </c>
      <c r="BK220" s="499">
        <f t="shared" si="200"/>
        <v>312333.33333333331</v>
      </c>
      <c r="BL220" s="499" t="str">
        <f t="shared" si="200"/>
        <v/>
      </c>
      <c r="BM220" s="499">
        <f t="shared" si="200"/>
        <v>2943590.5</v>
      </c>
      <c r="BN220" s="499" t="str">
        <f t="shared" si="200"/>
        <v/>
      </c>
      <c r="BO220" s="499" t="str">
        <f t="shared" ref="BO220:CT220" si="201">IF(BO160=1, BO$153/BO$156, "")</f>
        <v/>
      </c>
      <c r="BP220" s="499">
        <f t="shared" si="201"/>
        <v>972706.25</v>
      </c>
      <c r="BQ220" s="499" t="str">
        <f t="shared" si="201"/>
        <v/>
      </c>
      <c r="BR220" s="499" t="str">
        <f t="shared" si="201"/>
        <v/>
      </c>
      <c r="BS220" s="499" t="str">
        <f t="shared" si="201"/>
        <v/>
      </c>
      <c r="BT220" s="499">
        <f t="shared" si="201"/>
        <v>516090</v>
      </c>
      <c r="BU220" s="499" t="str">
        <f t="shared" si="201"/>
        <v/>
      </c>
      <c r="BV220" s="499" t="str">
        <f t="shared" si="201"/>
        <v/>
      </c>
      <c r="BW220" s="499" t="str">
        <f t="shared" si="201"/>
        <v/>
      </c>
      <c r="BX220" s="499" t="str">
        <f t="shared" si="201"/>
        <v/>
      </c>
      <c r="BY220" s="499">
        <f t="shared" si="201"/>
        <v>1484.3333333333333</v>
      </c>
      <c r="BZ220" s="499" t="str">
        <f t="shared" si="201"/>
        <v/>
      </c>
      <c r="CA220" s="499">
        <f t="shared" si="201"/>
        <v>60000</v>
      </c>
      <c r="CB220" s="499">
        <f t="shared" si="201"/>
        <v>120308.80952380951</v>
      </c>
      <c r="CC220" s="499" t="str">
        <f t="shared" si="201"/>
        <v/>
      </c>
      <c r="CD220" s="499" t="str">
        <f t="shared" si="201"/>
        <v/>
      </c>
      <c r="CE220" s="499" t="str">
        <f t="shared" si="201"/>
        <v/>
      </c>
      <c r="CF220" s="499" t="str">
        <f t="shared" si="201"/>
        <v/>
      </c>
      <c r="CG220" s="499" t="str">
        <f t="shared" si="201"/>
        <v/>
      </c>
      <c r="CH220" s="499" t="str">
        <f t="shared" si="201"/>
        <v/>
      </c>
      <c r="CI220" s="499" t="str">
        <f t="shared" si="201"/>
        <v/>
      </c>
      <c r="CJ220" s="499">
        <f t="shared" si="201"/>
        <v>807000</v>
      </c>
      <c r="CK220" s="499" t="str">
        <f t="shared" si="201"/>
        <v/>
      </c>
      <c r="CL220" s="499">
        <f t="shared" si="201"/>
        <v>73.2</v>
      </c>
      <c r="CM220" s="499" t="str">
        <f t="shared" si="201"/>
        <v/>
      </c>
      <c r="CN220" s="499" t="str">
        <f t="shared" si="201"/>
        <v/>
      </c>
      <c r="CO220" s="499" t="str">
        <f t="shared" si="201"/>
        <v/>
      </c>
      <c r="CP220" s="499">
        <f t="shared" si="201"/>
        <v>684050</v>
      </c>
      <c r="CQ220" s="499" t="str">
        <f t="shared" si="201"/>
        <v/>
      </c>
      <c r="CR220" s="499" t="str">
        <f t="shared" si="201"/>
        <v/>
      </c>
      <c r="CS220" s="499" t="str">
        <f t="shared" si="201"/>
        <v/>
      </c>
      <c r="CT220" s="499" t="str">
        <f t="shared" si="201"/>
        <v/>
      </c>
      <c r="CU220" s="499" t="str">
        <f t="shared" ref="CU220:DZ220" si="202">IF(CU160=1, CU$153/CU$156, "")</f>
        <v/>
      </c>
      <c r="CV220" s="499" t="str">
        <f t="shared" si="202"/>
        <v/>
      </c>
      <c r="CW220" s="499" t="str">
        <f t="shared" si="202"/>
        <v/>
      </c>
      <c r="CX220" s="499">
        <f t="shared" si="202"/>
        <v>67498.438000000009</v>
      </c>
      <c r="CY220" s="499">
        <f t="shared" si="202"/>
        <v>2268.6666666666665</v>
      </c>
      <c r="CZ220" s="499">
        <f t="shared" si="202"/>
        <v>2435.6666666666665</v>
      </c>
      <c r="DA220" s="499">
        <f t="shared" si="202"/>
        <v>73500</v>
      </c>
      <c r="DB220" s="499" t="str">
        <f t="shared" si="202"/>
        <v/>
      </c>
      <c r="DC220" s="499">
        <f t="shared" si="202"/>
        <v>275823.3125</v>
      </c>
      <c r="DD220" s="499" t="str">
        <f t="shared" si="202"/>
        <v/>
      </c>
      <c r="DE220" s="499">
        <f t="shared" si="202"/>
        <v>570383.32615384622</v>
      </c>
      <c r="DF220" s="499" t="str">
        <f t="shared" si="202"/>
        <v/>
      </c>
      <c r="DG220" s="499" t="str">
        <f t="shared" si="202"/>
        <v/>
      </c>
      <c r="DH220" s="499">
        <f t="shared" si="202"/>
        <v>75469.952428571429</v>
      </c>
      <c r="DI220" s="499" t="str">
        <f t="shared" si="202"/>
        <v/>
      </c>
      <c r="DJ220" s="499" t="str">
        <f t="shared" si="202"/>
        <v/>
      </c>
      <c r="DK220" s="499">
        <f t="shared" si="202"/>
        <v>375</v>
      </c>
      <c r="DL220" s="499" t="str">
        <f t="shared" si="202"/>
        <v/>
      </c>
      <c r="DM220" s="499" t="str">
        <f t="shared" si="202"/>
        <v/>
      </c>
      <c r="DN220" s="499" t="str">
        <f t="shared" si="202"/>
        <v/>
      </c>
      <c r="DO220" s="499" t="str">
        <f t="shared" si="202"/>
        <v/>
      </c>
      <c r="DP220" s="499" t="str">
        <f t="shared" si="202"/>
        <v/>
      </c>
      <c r="DQ220" s="499" t="str">
        <f t="shared" si="202"/>
        <v/>
      </c>
      <c r="DR220" s="499" t="str">
        <f t="shared" si="202"/>
        <v/>
      </c>
      <c r="DS220" s="499" t="str">
        <f t="shared" si="202"/>
        <v/>
      </c>
      <c r="DT220" s="499" t="str">
        <f t="shared" si="202"/>
        <v/>
      </c>
      <c r="DU220" s="499" t="str">
        <f t="shared" si="202"/>
        <v/>
      </c>
      <c r="DV220" s="499" t="str">
        <f t="shared" si="202"/>
        <v/>
      </c>
      <c r="DW220" s="499" t="str">
        <f t="shared" si="202"/>
        <v/>
      </c>
      <c r="DX220" s="499" t="str">
        <f t="shared" si="202"/>
        <v/>
      </c>
      <c r="DY220" s="499" t="str">
        <f t="shared" si="202"/>
        <v/>
      </c>
      <c r="DZ220" s="499" t="str">
        <f t="shared" si="202"/>
        <v/>
      </c>
      <c r="EA220" s="499">
        <f t="shared" ref="EA220:EI220" si="203">IF(EA160=1, EA$153/EA$156, "")</f>
        <v>100000</v>
      </c>
      <c r="EB220" s="499" t="str">
        <f t="shared" si="203"/>
        <v/>
      </c>
      <c r="EC220" s="499" t="str">
        <f t="shared" si="203"/>
        <v/>
      </c>
      <c r="ED220" s="499" t="str">
        <f t="shared" si="203"/>
        <v/>
      </c>
      <c r="EE220" s="499" t="str">
        <f t="shared" si="203"/>
        <v/>
      </c>
      <c r="EF220" s="499" t="str">
        <f t="shared" si="203"/>
        <v/>
      </c>
      <c r="EG220" s="499" t="str">
        <f t="shared" si="203"/>
        <v/>
      </c>
      <c r="EH220" s="499" t="str">
        <f t="shared" si="203"/>
        <v/>
      </c>
      <c r="EI220" s="499" t="str">
        <f t="shared" si="203"/>
        <v/>
      </c>
      <c r="EJ220" s="499">
        <f t="shared" si="198"/>
        <v>15201312.765868131</v>
      </c>
      <c r="EK220" s="67"/>
      <c r="EL220" s="67"/>
      <c r="EM220" s="67"/>
      <c r="EN220" s="67"/>
      <c r="EO220" s="67"/>
      <c r="EP220" s="67"/>
      <c r="EQ220" s="67"/>
      <c r="ER220" s="67"/>
      <c r="ES220" s="67"/>
      <c r="ET220" s="67"/>
      <c r="EU220" s="67"/>
      <c r="EV220" s="67"/>
      <c r="EW220" s="67"/>
      <c r="EX220" s="67"/>
      <c r="EY220" s="67"/>
      <c r="EZ220" s="67"/>
    </row>
    <row r="221" spans="1:156">
      <c r="B221" s="500" t="s">
        <v>97</v>
      </c>
      <c r="C221" s="499">
        <f t="shared" ref="C221:AH221" si="204">IF(C161=1, C$153/C$156, "")</f>
        <v>731779.5</v>
      </c>
      <c r="D221" s="499" t="str">
        <f t="shared" si="204"/>
        <v/>
      </c>
      <c r="E221" s="499" t="str">
        <f t="shared" si="204"/>
        <v/>
      </c>
      <c r="F221" s="499" t="str">
        <f t="shared" si="204"/>
        <v/>
      </c>
      <c r="G221" s="499" t="str">
        <f t="shared" si="204"/>
        <v/>
      </c>
      <c r="H221" s="499">
        <f t="shared" si="204"/>
        <v>17291.6875</v>
      </c>
      <c r="I221" s="499" t="str">
        <f t="shared" si="204"/>
        <v/>
      </c>
      <c r="J221" s="499" t="str">
        <f t="shared" si="204"/>
        <v/>
      </c>
      <c r="K221" s="499">
        <f t="shared" si="204"/>
        <v>2583500</v>
      </c>
      <c r="L221" s="499">
        <f t="shared" si="204"/>
        <v>2889000</v>
      </c>
      <c r="M221" s="499" t="str">
        <f t="shared" si="204"/>
        <v/>
      </c>
      <c r="N221" s="499" t="str">
        <f t="shared" si="204"/>
        <v/>
      </c>
      <c r="O221" s="499" t="str">
        <f t="shared" si="204"/>
        <v/>
      </c>
      <c r="P221" s="499" t="str">
        <f t="shared" si="204"/>
        <v/>
      </c>
      <c r="Q221" s="499">
        <f t="shared" si="204"/>
        <v>79856.5</v>
      </c>
      <c r="R221" s="499" t="str">
        <f t="shared" si="204"/>
        <v/>
      </c>
      <c r="S221" s="499" t="str">
        <f t="shared" si="204"/>
        <v/>
      </c>
      <c r="T221" s="499" t="str">
        <f t="shared" si="204"/>
        <v/>
      </c>
      <c r="U221" s="499" t="str">
        <f t="shared" si="204"/>
        <v/>
      </c>
      <c r="V221" s="499">
        <f t="shared" si="204"/>
        <v>14760000</v>
      </c>
      <c r="W221" s="499" t="str">
        <f t="shared" si="204"/>
        <v/>
      </c>
      <c r="X221" s="499">
        <f t="shared" si="204"/>
        <v>1972167.5</v>
      </c>
      <c r="Y221" s="499" t="str">
        <f t="shared" si="204"/>
        <v/>
      </c>
      <c r="Z221" s="499" t="str">
        <f t="shared" si="204"/>
        <v/>
      </c>
      <c r="AA221" s="499" t="str">
        <f t="shared" si="204"/>
        <v/>
      </c>
      <c r="AB221" s="499" t="str">
        <f t="shared" si="204"/>
        <v/>
      </c>
      <c r="AC221" s="499">
        <f t="shared" si="204"/>
        <v>394200</v>
      </c>
      <c r="AD221" s="499" t="str">
        <f t="shared" si="204"/>
        <v/>
      </c>
      <c r="AE221" s="499">
        <f t="shared" si="204"/>
        <v>4666666.666666667</v>
      </c>
      <c r="AF221" s="499">
        <f t="shared" si="204"/>
        <v>841333.33333333337</v>
      </c>
      <c r="AG221" s="499" t="str">
        <f t="shared" si="204"/>
        <v/>
      </c>
      <c r="AH221" s="499">
        <f t="shared" si="204"/>
        <v>543855.19999999995</v>
      </c>
      <c r="AI221" s="499" t="str">
        <f t="shared" ref="AI221:BN221" si="205">IF(AI161=1, AI$153/AI$156, "")</f>
        <v/>
      </c>
      <c r="AJ221" s="499">
        <f t="shared" si="205"/>
        <v>502016.5228571429</v>
      </c>
      <c r="AK221" s="499" t="str">
        <f t="shared" si="205"/>
        <v/>
      </c>
      <c r="AL221" s="499" t="str">
        <f t="shared" si="205"/>
        <v/>
      </c>
      <c r="AM221" s="499" t="str">
        <f t="shared" si="205"/>
        <v/>
      </c>
      <c r="AN221" s="499">
        <f t="shared" si="205"/>
        <v>84958.095714285722</v>
      </c>
      <c r="AO221" s="499" t="str">
        <f t="shared" si="205"/>
        <v/>
      </c>
      <c r="AP221" s="499">
        <f t="shared" si="205"/>
        <v>66666.666666666672</v>
      </c>
      <c r="AQ221" s="499">
        <f t="shared" si="205"/>
        <v>90000</v>
      </c>
      <c r="AR221" s="499" t="str">
        <f t="shared" si="205"/>
        <v/>
      </c>
      <c r="AS221" s="499" t="str">
        <f t="shared" si="205"/>
        <v/>
      </c>
      <c r="AT221" s="499" t="str">
        <f t="shared" si="205"/>
        <v/>
      </c>
      <c r="AU221" s="499">
        <f t="shared" si="205"/>
        <v>8341.75</v>
      </c>
      <c r="AV221" s="499" t="str">
        <f t="shared" si="205"/>
        <v/>
      </c>
      <c r="AW221" s="499" t="str">
        <f t="shared" si="205"/>
        <v/>
      </c>
      <c r="AX221" s="499" t="str">
        <f t="shared" si="205"/>
        <v/>
      </c>
      <c r="AY221" s="499">
        <f t="shared" si="205"/>
        <v>203632.5625</v>
      </c>
      <c r="AZ221" s="499">
        <f t="shared" si="205"/>
        <v>70459</v>
      </c>
      <c r="BA221" s="499">
        <f t="shared" si="205"/>
        <v>5607.1428571428569</v>
      </c>
      <c r="BB221" s="499">
        <f t="shared" si="205"/>
        <v>28478.4375</v>
      </c>
      <c r="BC221" s="499" t="str">
        <f t="shared" si="205"/>
        <v/>
      </c>
      <c r="BD221" s="499" t="str">
        <f t="shared" si="205"/>
        <v/>
      </c>
      <c r="BE221" s="499" t="str">
        <f t="shared" si="205"/>
        <v/>
      </c>
      <c r="BF221" s="499" t="str">
        <f t="shared" si="205"/>
        <v/>
      </c>
      <c r="BG221" s="499" t="str">
        <f t="shared" si="205"/>
        <v/>
      </c>
      <c r="BH221" s="499">
        <f t="shared" si="205"/>
        <v>1000000</v>
      </c>
      <c r="BI221" s="499">
        <f t="shared" si="205"/>
        <v>1000000</v>
      </c>
      <c r="BJ221" s="499">
        <f t="shared" si="205"/>
        <v>666666.66666666663</v>
      </c>
      <c r="BK221" s="499" t="str">
        <f t="shared" si="205"/>
        <v/>
      </c>
      <c r="BL221" s="499" t="str">
        <f t="shared" si="205"/>
        <v/>
      </c>
      <c r="BM221" s="499">
        <f t="shared" si="205"/>
        <v>2943590.5</v>
      </c>
      <c r="BN221" s="499" t="str">
        <f t="shared" si="205"/>
        <v/>
      </c>
      <c r="BO221" s="499" t="str">
        <f t="shared" ref="BO221:CT221" si="206">IF(BO161=1, BO$153/BO$156, "")</f>
        <v/>
      </c>
      <c r="BP221" s="499">
        <f t="shared" si="206"/>
        <v>972706.25</v>
      </c>
      <c r="BQ221" s="499" t="str">
        <f t="shared" si="206"/>
        <v/>
      </c>
      <c r="BR221" s="499" t="str">
        <f t="shared" si="206"/>
        <v/>
      </c>
      <c r="BS221" s="499" t="str">
        <f t="shared" si="206"/>
        <v/>
      </c>
      <c r="BT221" s="499">
        <f t="shared" si="206"/>
        <v>516090</v>
      </c>
      <c r="BU221" s="499" t="str">
        <f t="shared" si="206"/>
        <v/>
      </c>
      <c r="BV221" s="499" t="str">
        <f t="shared" si="206"/>
        <v/>
      </c>
      <c r="BW221" s="499" t="str">
        <f t="shared" si="206"/>
        <v/>
      </c>
      <c r="BX221" s="499" t="str">
        <f t="shared" si="206"/>
        <v/>
      </c>
      <c r="BY221" s="499" t="str">
        <f t="shared" si="206"/>
        <v/>
      </c>
      <c r="BZ221" s="499">
        <f t="shared" si="206"/>
        <v>4305</v>
      </c>
      <c r="CA221" s="499">
        <f t="shared" si="206"/>
        <v>60000</v>
      </c>
      <c r="CB221" s="499">
        <f t="shared" si="206"/>
        <v>120308.80952380951</v>
      </c>
      <c r="CC221" s="499" t="str">
        <f t="shared" si="206"/>
        <v/>
      </c>
      <c r="CD221" s="499" t="str">
        <f t="shared" si="206"/>
        <v/>
      </c>
      <c r="CE221" s="499" t="str">
        <f t="shared" si="206"/>
        <v/>
      </c>
      <c r="CF221" s="499" t="str">
        <f t="shared" si="206"/>
        <v/>
      </c>
      <c r="CG221" s="499" t="str">
        <f t="shared" si="206"/>
        <v/>
      </c>
      <c r="CH221" s="499">
        <f t="shared" si="206"/>
        <v>34650000</v>
      </c>
      <c r="CI221" s="499" t="str">
        <f t="shared" si="206"/>
        <v/>
      </c>
      <c r="CJ221" s="499" t="str">
        <f t="shared" si="206"/>
        <v/>
      </c>
      <c r="CK221" s="499">
        <f t="shared" si="206"/>
        <v>433107.22222222225</v>
      </c>
      <c r="CL221" s="499">
        <f t="shared" si="206"/>
        <v>73.2</v>
      </c>
      <c r="CM221" s="499" t="str">
        <f t="shared" si="206"/>
        <v/>
      </c>
      <c r="CN221" s="499" t="str">
        <f t="shared" si="206"/>
        <v/>
      </c>
      <c r="CO221" s="499">
        <f t="shared" si="206"/>
        <v>90416.666666666672</v>
      </c>
      <c r="CP221" s="499" t="str">
        <f t="shared" si="206"/>
        <v/>
      </c>
      <c r="CQ221" s="499" t="str">
        <f t="shared" si="206"/>
        <v/>
      </c>
      <c r="CR221" s="499">
        <f t="shared" si="206"/>
        <v>1638131</v>
      </c>
      <c r="CS221" s="499">
        <f t="shared" si="206"/>
        <v>137040500</v>
      </c>
      <c r="CT221" s="499" t="str">
        <f t="shared" si="206"/>
        <v/>
      </c>
      <c r="CU221" s="499" t="str">
        <f t="shared" ref="CU221:DZ221" si="207">IF(CU161=1, CU$153/CU$156, "")</f>
        <v/>
      </c>
      <c r="CV221" s="499">
        <f t="shared" si="207"/>
        <v>7821</v>
      </c>
      <c r="CW221" s="499" t="str">
        <f t="shared" si="207"/>
        <v/>
      </c>
      <c r="CX221" s="499">
        <f t="shared" si="207"/>
        <v>67498.438000000009</v>
      </c>
      <c r="CY221" s="499" t="str">
        <f t="shared" si="207"/>
        <v/>
      </c>
      <c r="CZ221" s="499">
        <f t="shared" si="207"/>
        <v>2435.6666666666665</v>
      </c>
      <c r="DA221" s="499">
        <f t="shared" si="207"/>
        <v>73500</v>
      </c>
      <c r="DB221" s="499">
        <f t="shared" si="207"/>
        <v>1991.6666666666667</v>
      </c>
      <c r="DC221" s="499">
        <f t="shared" si="207"/>
        <v>275823.3125</v>
      </c>
      <c r="DD221" s="499">
        <f t="shared" si="207"/>
        <v>5426903.333333333</v>
      </c>
      <c r="DE221" s="499">
        <f t="shared" si="207"/>
        <v>570383.32615384622</v>
      </c>
      <c r="DF221" s="499" t="str">
        <f t="shared" si="207"/>
        <v/>
      </c>
      <c r="DG221" s="499" t="str">
        <f t="shared" si="207"/>
        <v/>
      </c>
      <c r="DH221" s="499">
        <f t="shared" si="207"/>
        <v>75469.952428571429</v>
      </c>
      <c r="DI221" s="499" t="str">
        <f t="shared" si="207"/>
        <v/>
      </c>
      <c r="DJ221" s="499" t="str">
        <f t="shared" si="207"/>
        <v/>
      </c>
      <c r="DK221" s="499">
        <f t="shared" si="207"/>
        <v>375</v>
      </c>
      <c r="DL221" s="499" t="str">
        <f t="shared" si="207"/>
        <v/>
      </c>
      <c r="DM221" s="499" t="str">
        <f t="shared" si="207"/>
        <v/>
      </c>
      <c r="DN221" s="499" t="str">
        <f t="shared" si="207"/>
        <v/>
      </c>
      <c r="DO221" s="499">
        <f t="shared" si="207"/>
        <v>7736462.333333333</v>
      </c>
      <c r="DP221" s="499" t="str">
        <f t="shared" si="207"/>
        <v/>
      </c>
      <c r="DQ221" s="499" t="str">
        <f t="shared" si="207"/>
        <v/>
      </c>
      <c r="DR221" s="499">
        <f t="shared" si="207"/>
        <v>2641751</v>
      </c>
      <c r="DS221" s="499" t="str">
        <f t="shared" si="207"/>
        <v/>
      </c>
      <c r="DT221" s="499" t="str">
        <f t="shared" si="207"/>
        <v/>
      </c>
      <c r="DU221" s="499" t="str">
        <f t="shared" si="207"/>
        <v/>
      </c>
      <c r="DV221" s="499" t="str">
        <f t="shared" si="207"/>
        <v/>
      </c>
      <c r="DW221" s="499" t="str">
        <f t="shared" si="207"/>
        <v/>
      </c>
      <c r="DX221" s="499">
        <f t="shared" si="207"/>
        <v>9023601.5</v>
      </c>
      <c r="DY221" s="499" t="str">
        <f t="shared" si="207"/>
        <v/>
      </c>
      <c r="DZ221" s="499" t="str">
        <f t="shared" si="207"/>
        <v/>
      </c>
      <c r="EA221" s="499" t="str">
        <f t="shared" ref="EA221:EI221" si="208">IF(EA161=1, EA$153/EA$156, "")</f>
        <v/>
      </c>
      <c r="EB221" s="499">
        <f t="shared" si="208"/>
        <v>4306500</v>
      </c>
      <c r="EC221" s="499">
        <f t="shared" si="208"/>
        <v>765515</v>
      </c>
      <c r="ED221" s="499" t="str">
        <f t="shared" si="208"/>
        <v/>
      </c>
      <c r="EE221" s="499">
        <f t="shared" si="208"/>
        <v>3138840.7142857141</v>
      </c>
      <c r="EF221" s="499" t="str">
        <f t="shared" si="208"/>
        <v/>
      </c>
      <c r="EG221" s="499" t="str">
        <f t="shared" si="208"/>
        <v/>
      </c>
      <c r="EH221" s="499" t="str">
        <f t="shared" si="208"/>
        <v/>
      </c>
      <c r="EI221" s="499" t="str">
        <f t="shared" si="208"/>
        <v/>
      </c>
      <c r="EJ221" s="499">
        <f t="shared" si="198"/>
        <v>245790578.12404272</v>
      </c>
      <c r="EK221" s="67"/>
      <c r="EL221" s="67"/>
      <c r="EM221" s="67"/>
      <c r="EN221" s="67"/>
      <c r="EO221" s="67"/>
      <c r="EP221" s="67"/>
      <c r="EQ221" s="67"/>
      <c r="ER221" s="67"/>
      <c r="ES221" s="67"/>
      <c r="ET221" s="67"/>
      <c r="EU221" s="67"/>
      <c r="EV221" s="67"/>
      <c r="EW221" s="67"/>
      <c r="EX221" s="67"/>
      <c r="EY221" s="67"/>
      <c r="EZ221" s="67"/>
    </row>
    <row r="222" spans="1:156">
      <c r="B222" s="500" t="s">
        <v>112</v>
      </c>
      <c r="C222" s="499" t="str">
        <f t="shared" ref="C222:AH222" si="209">IF(C162=1, C$153/C$156, "")</f>
        <v/>
      </c>
      <c r="D222" s="499" t="str">
        <f t="shared" si="209"/>
        <v/>
      </c>
      <c r="E222" s="499" t="str">
        <f t="shared" si="209"/>
        <v/>
      </c>
      <c r="F222" s="499" t="str">
        <f t="shared" si="209"/>
        <v/>
      </c>
      <c r="G222" s="499" t="str">
        <f t="shared" si="209"/>
        <v/>
      </c>
      <c r="H222" s="499">
        <f t="shared" si="209"/>
        <v>17291.6875</v>
      </c>
      <c r="I222" s="499" t="str">
        <f t="shared" si="209"/>
        <v/>
      </c>
      <c r="J222" s="499" t="str">
        <f t="shared" si="209"/>
        <v/>
      </c>
      <c r="K222" s="499" t="str">
        <f t="shared" si="209"/>
        <v/>
      </c>
      <c r="L222" s="499" t="str">
        <f t="shared" si="209"/>
        <v/>
      </c>
      <c r="M222" s="499" t="str">
        <f t="shared" si="209"/>
        <v/>
      </c>
      <c r="N222" s="499" t="str">
        <f t="shared" si="209"/>
        <v/>
      </c>
      <c r="O222" s="499">
        <f t="shared" si="209"/>
        <v>4500000</v>
      </c>
      <c r="P222" s="499" t="str">
        <f t="shared" si="209"/>
        <v/>
      </c>
      <c r="Q222" s="499">
        <f t="shared" si="209"/>
        <v>79856.5</v>
      </c>
      <c r="R222" s="499" t="str">
        <f t="shared" si="209"/>
        <v/>
      </c>
      <c r="S222" s="499" t="str">
        <f t="shared" si="209"/>
        <v/>
      </c>
      <c r="T222" s="499" t="str">
        <f t="shared" si="209"/>
        <v/>
      </c>
      <c r="U222" s="499" t="str">
        <f t="shared" si="209"/>
        <v/>
      </c>
      <c r="V222" s="499">
        <f t="shared" si="209"/>
        <v>14760000</v>
      </c>
      <c r="W222" s="499" t="str">
        <f t="shared" si="209"/>
        <v/>
      </c>
      <c r="X222" s="499">
        <f t="shared" si="209"/>
        <v>1972167.5</v>
      </c>
      <c r="Y222" s="499" t="str">
        <f t="shared" si="209"/>
        <v/>
      </c>
      <c r="Z222" s="499" t="str">
        <f t="shared" si="209"/>
        <v/>
      </c>
      <c r="AA222" s="499" t="str">
        <f t="shared" si="209"/>
        <v/>
      </c>
      <c r="AB222" s="499">
        <f t="shared" si="209"/>
        <v>929187.5</v>
      </c>
      <c r="AC222" s="499" t="str">
        <f t="shared" si="209"/>
        <v/>
      </c>
      <c r="AD222" s="499" t="str">
        <f t="shared" si="209"/>
        <v/>
      </c>
      <c r="AE222" s="499">
        <f t="shared" si="209"/>
        <v>4666666.666666667</v>
      </c>
      <c r="AF222" s="499">
        <f t="shared" si="209"/>
        <v>841333.33333333337</v>
      </c>
      <c r="AG222" s="499" t="str">
        <f t="shared" si="209"/>
        <v/>
      </c>
      <c r="AH222" s="499">
        <f t="shared" si="209"/>
        <v>543855.19999999995</v>
      </c>
      <c r="AI222" s="499" t="str">
        <f t="shared" ref="AI222:BN222" si="210">IF(AI162=1, AI$153/AI$156, "")</f>
        <v/>
      </c>
      <c r="AJ222" s="499">
        <f t="shared" si="210"/>
        <v>502016.5228571429</v>
      </c>
      <c r="AK222" s="499" t="str">
        <f t="shared" si="210"/>
        <v/>
      </c>
      <c r="AL222" s="499" t="str">
        <f t="shared" si="210"/>
        <v/>
      </c>
      <c r="AM222" s="499" t="str">
        <f t="shared" si="210"/>
        <v/>
      </c>
      <c r="AN222" s="499">
        <f t="shared" si="210"/>
        <v>84958.095714285722</v>
      </c>
      <c r="AO222" s="499" t="str">
        <f t="shared" si="210"/>
        <v/>
      </c>
      <c r="AP222" s="499" t="str">
        <f t="shared" si="210"/>
        <v/>
      </c>
      <c r="AQ222" s="499" t="str">
        <f t="shared" si="210"/>
        <v/>
      </c>
      <c r="AR222" s="499" t="str">
        <f t="shared" si="210"/>
        <v/>
      </c>
      <c r="AS222" s="499">
        <f t="shared" si="210"/>
        <v>459.625</v>
      </c>
      <c r="AT222" s="499">
        <f t="shared" si="210"/>
        <v>3115</v>
      </c>
      <c r="AU222" s="499" t="str">
        <f t="shared" si="210"/>
        <v/>
      </c>
      <c r="AV222" s="499" t="str">
        <f t="shared" si="210"/>
        <v/>
      </c>
      <c r="AW222" s="499" t="str">
        <f t="shared" si="210"/>
        <v/>
      </c>
      <c r="AX222" s="499" t="str">
        <f t="shared" si="210"/>
        <v/>
      </c>
      <c r="AY222" s="499">
        <f t="shared" si="210"/>
        <v>203632.5625</v>
      </c>
      <c r="AZ222" s="499" t="str">
        <f t="shared" si="210"/>
        <v/>
      </c>
      <c r="BA222" s="499">
        <f t="shared" si="210"/>
        <v>5607.1428571428569</v>
      </c>
      <c r="BB222" s="499">
        <f t="shared" si="210"/>
        <v>28478.4375</v>
      </c>
      <c r="BC222" s="499">
        <f t="shared" si="210"/>
        <v>316637.30769230769</v>
      </c>
      <c r="BD222" s="499" t="str">
        <f t="shared" si="210"/>
        <v/>
      </c>
      <c r="BE222" s="499" t="str">
        <f t="shared" si="210"/>
        <v/>
      </c>
      <c r="BF222" s="499" t="str">
        <f t="shared" si="210"/>
        <v/>
      </c>
      <c r="BG222" s="499">
        <f t="shared" si="210"/>
        <v>657125</v>
      </c>
      <c r="BH222" s="499">
        <f t="shared" si="210"/>
        <v>1000000</v>
      </c>
      <c r="BI222" s="499">
        <f t="shared" si="210"/>
        <v>1000000</v>
      </c>
      <c r="BJ222" s="499">
        <f t="shared" si="210"/>
        <v>666666.66666666663</v>
      </c>
      <c r="BK222" s="499" t="str">
        <f t="shared" si="210"/>
        <v/>
      </c>
      <c r="BL222" s="499" t="str">
        <f t="shared" si="210"/>
        <v/>
      </c>
      <c r="BM222" s="499" t="str">
        <f t="shared" si="210"/>
        <v/>
      </c>
      <c r="BN222" s="499" t="str">
        <f t="shared" si="210"/>
        <v/>
      </c>
      <c r="BO222" s="499" t="str">
        <f t="shared" ref="BO222:CT222" si="211">IF(BO162=1, BO$153/BO$156, "")</f>
        <v/>
      </c>
      <c r="BP222" s="499">
        <f t="shared" si="211"/>
        <v>972706.25</v>
      </c>
      <c r="BQ222" s="499">
        <f t="shared" si="211"/>
        <v>32457715</v>
      </c>
      <c r="BR222" s="499" t="str">
        <f t="shared" si="211"/>
        <v/>
      </c>
      <c r="BS222" s="499">
        <f t="shared" si="211"/>
        <v>4755330</v>
      </c>
      <c r="BT222" s="499">
        <f t="shared" si="211"/>
        <v>516090</v>
      </c>
      <c r="BU222" s="499" t="str">
        <f t="shared" si="211"/>
        <v/>
      </c>
      <c r="BV222" s="499" t="str">
        <f t="shared" si="211"/>
        <v/>
      </c>
      <c r="BW222" s="499" t="str">
        <f t="shared" si="211"/>
        <v/>
      </c>
      <c r="BX222" s="499" t="str">
        <f t="shared" si="211"/>
        <v/>
      </c>
      <c r="BY222" s="499" t="str">
        <f t="shared" si="211"/>
        <v/>
      </c>
      <c r="BZ222" s="499">
        <f t="shared" si="211"/>
        <v>4305</v>
      </c>
      <c r="CA222" s="499" t="str">
        <f t="shared" si="211"/>
        <v/>
      </c>
      <c r="CB222" s="499">
        <f t="shared" si="211"/>
        <v>120308.80952380951</v>
      </c>
      <c r="CC222" s="499" t="str">
        <f t="shared" si="211"/>
        <v/>
      </c>
      <c r="CD222" s="499" t="str">
        <f t="shared" si="211"/>
        <v/>
      </c>
      <c r="CE222" s="499" t="str">
        <f t="shared" si="211"/>
        <v/>
      </c>
      <c r="CF222" s="499" t="str">
        <f t="shared" si="211"/>
        <v/>
      </c>
      <c r="CG222" s="499" t="str">
        <f t="shared" si="211"/>
        <v/>
      </c>
      <c r="CH222" s="499" t="str">
        <f t="shared" si="211"/>
        <v/>
      </c>
      <c r="CI222" s="499" t="str">
        <f t="shared" si="211"/>
        <v/>
      </c>
      <c r="CJ222" s="499" t="str">
        <f t="shared" si="211"/>
        <v/>
      </c>
      <c r="CK222" s="499">
        <f t="shared" si="211"/>
        <v>433107.22222222225</v>
      </c>
      <c r="CL222" s="499">
        <f t="shared" si="211"/>
        <v>73.2</v>
      </c>
      <c r="CM222" s="499">
        <f t="shared" si="211"/>
        <v>923962</v>
      </c>
      <c r="CN222" s="499" t="str">
        <f t="shared" si="211"/>
        <v/>
      </c>
      <c r="CO222" s="499">
        <f t="shared" si="211"/>
        <v>90416.666666666672</v>
      </c>
      <c r="CP222" s="499">
        <f t="shared" si="211"/>
        <v>684050</v>
      </c>
      <c r="CQ222" s="499">
        <f t="shared" si="211"/>
        <v>9360000</v>
      </c>
      <c r="CR222" s="499" t="str">
        <f t="shared" si="211"/>
        <v/>
      </c>
      <c r="CS222" s="499">
        <f t="shared" si="211"/>
        <v>137040500</v>
      </c>
      <c r="CT222" s="499" t="str">
        <f t="shared" si="211"/>
        <v/>
      </c>
      <c r="CU222" s="499" t="str">
        <f t="shared" ref="CU222:DZ222" si="212">IF(CU162=1, CU$153/CU$156, "")</f>
        <v/>
      </c>
      <c r="CV222" s="499" t="str">
        <f t="shared" si="212"/>
        <v/>
      </c>
      <c r="CW222" s="499">
        <f t="shared" si="212"/>
        <v>580269.25</v>
      </c>
      <c r="CX222" s="499" t="str">
        <f t="shared" si="212"/>
        <v/>
      </c>
      <c r="CY222" s="499" t="str">
        <f t="shared" si="212"/>
        <v/>
      </c>
      <c r="CZ222" s="499" t="str">
        <f t="shared" si="212"/>
        <v/>
      </c>
      <c r="DA222" s="499">
        <f t="shared" si="212"/>
        <v>73500</v>
      </c>
      <c r="DB222" s="499" t="str">
        <f t="shared" si="212"/>
        <v/>
      </c>
      <c r="DC222" s="499">
        <f t="shared" si="212"/>
        <v>275823.3125</v>
      </c>
      <c r="DD222" s="499">
        <f t="shared" si="212"/>
        <v>5426903.333333333</v>
      </c>
      <c r="DE222" s="499" t="str">
        <f t="shared" si="212"/>
        <v/>
      </c>
      <c r="DF222" s="499" t="str">
        <f t="shared" si="212"/>
        <v/>
      </c>
      <c r="DG222" s="499" t="str">
        <f t="shared" si="212"/>
        <v/>
      </c>
      <c r="DH222" s="499">
        <f t="shared" si="212"/>
        <v>75469.952428571429</v>
      </c>
      <c r="DI222" s="499" t="str">
        <f t="shared" si="212"/>
        <v/>
      </c>
      <c r="DJ222" s="499" t="str">
        <f t="shared" si="212"/>
        <v/>
      </c>
      <c r="DK222" s="499">
        <f t="shared" si="212"/>
        <v>375</v>
      </c>
      <c r="DL222" s="499">
        <f t="shared" si="212"/>
        <v>358500</v>
      </c>
      <c r="DM222" s="499" t="str">
        <f t="shared" si="212"/>
        <v/>
      </c>
      <c r="DN222" s="499" t="str">
        <f t="shared" si="212"/>
        <v/>
      </c>
      <c r="DO222" s="499">
        <f t="shared" si="212"/>
        <v>7736462.333333333</v>
      </c>
      <c r="DP222" s="499" t="str">
        <f t="shared" si="212"/>
        <v/>
      </c>
      <c r="DQ222" s="499" t="str">
        <f t="shared" si="212"/>
        <v/>
      </c>
      <c r="DR222" s="499" t="str">
        <f t="shared" si="212"/>
        <v/>
      </c>
      <c r="DS222" s="499" t="str">
        <f t="shared" si="212"/>
        <v/>
      </c>
      <c r="DT222" s="499" t="str">
        <f t="shared" si="212"/>
        <v/>
      </c>
      <c r="DU222" s="499">
        <f t="shared" si="212"/>
        <v>2935466.6666666665</v>
      </c>
      <c r="DV222" s="499">
        <f t="shared" si="212"/>
        <v>387000</v>
      </c>
      <c r="DW222" s="499" t="str">
        <f t="shared" si="212"/>
        <v/>
      </c>
      <c r="DX222" s="499" t="str">
        <f t="shared" si="212"/>
        <v/>
      </c>
      <c r="DY222" s="499" t="str">
        <f t="shared" si="212"/>
        <v/>
      </c>
      <c r="DZ222" s="499" t="str">
        <f t="shared" si="212"/>
        <v/>
      </c>
      <c r="EA222" s="499">
        <f t="shared" ref="EA222:EI222" si="213">IF(EA162=1, EA$153/EA$156, "")</f>
        <v>100000</v>
      </c>
      <c r="EB222" s="499" t="str">
        <f t="shared" si="213"/>
        <v/>
      </c>
      <c r="EC222" s="499" t="str">
        <f t="shared" si="213"/>
        <v/>
      </c>
      <c r="ED222" s="499">
        <f t="shared" si="213"/>
        <v>750</v>
      </c>
      <c r="EE222" s="499">
        <f t="shared" si="213"/>
        <v>3138840.7142857141</v>
      </c>
      <c r="EF222" s="499" t="str">
        <f t="shared" si="213"/>
        <v/>
      </c>
      <c r="EG222" s="499">
        <f t="shared" si="213"/>
        <v>77450</v>
      </c>
      <c r="EH222" s="499">
        <f t="shared" si="213"/>
        <v>186292.5</v>
      </c>
      <c r="EI222" s="499">
        <f t="shared" si="213"/>
        <v>44272.727272727272</v>
      </c>
      <c r="EJ222" s="499">
        <f t="shared" si="198"/>
        <v>241534994.68652061</v>
      </c>
      <c r="EK222" s="67"/>
      <c r="EL222" s="67"/>
      <c r="EM222" s="67"/>
      <c r="EN222" s="67"/>
      <c r="EO222" s="67"/>
      <c r="EP222" s="67"/>
      <c r="EQ222" s="67"/>
      <c r="ER222" s="67"/>
      <c r="ES222" s="67"/>
      <c r="ET222" s="67"/>
      <c r="EU222" s="67"/>
      <c r="EV222" s="67"/>
      <c r="EW222" s="67"/>
      <c r="EX222" s="67"/>
      <c r="EY222" s="67"/>
      <c r="EZ222" s="67"/>
    </row>
    <row r="223" spans="1:156">
      <c r="B223" s="500" t="s">
        <v>93</v>
      </c>
      <c r="C223" s="499" t="str">
        <f t="shared" ref="C223:AH223" si="214">IF(C163=1, C$153/C$156, "")</f>
        <v/>
      </c>
      <c r="D223" s="499" t="str">
        <f t="shared" si="214"/>
        <v/>
      </c>
      <c r="E223" s="499" t="str">
        <f t="shared" si="214"/>
        <v/>
      </c>
      <c r="F223" s="499" t="str">
        <f t="shared" si="214"/>
        <v/>
      </c>
      <c r="G223" s="499">
        <f t="shared" si="214"/>
        <v>545468.5</v>
      </c>
      <c r="H223" s="499">
        <f t="shared" si="214"/>
        <v>17291.6875</v>
      </c>
      <c r="I223" s="499" t="str">
        <f t="shared" si="214"/>
        <v/>
      </c>
      <c r="J223" s="499" t="str">
        <f t="shared" si="214"/>
        <v/>
      </c>
      <c r="K223" s="499" t="str">
        <f t="shared" si="214"/>
        <v/>
      </c>
      <c r="L223" s="499" t="str">
        <f t="shared" si="214"/>
        <v/>
      </c>
      <c r="M223" s="499" t="str">
        <f t="shared" si="214"/>
        <v/>
      </c>
      <c r="N223" s="499" t="str">
        <f t="shared" si="214"/>
        <v/>
      </c>
      <c r="O223" s="499" t="str">
        <f t="shared" si="214"/>
        <v/>
      </c>
      <c r="P223" s="499" t="str">
        <f t="shared" si="214"/>
        <v/>
      </c>
      <c r="Q223" s="499" t="str">
        <f t="shared" si="214"/>
        <v/>
      </c>
      <c r="R223" s="499" t="str">
        <f t="shared" si="214"/>
        <v/>
      </c>
      <c r="S223" s="499" t="str">
        <f t="shared" si="214"/>
        <v/>
      </c>
      <c r="T223" s="499" t="str">
        <f t="shared" si="214"/>
        <v/>
      </c>
      <c r="U223" s="499" t="str">
        <f t="shared" si="214"/>
        <v/>
      </c>
      <c r="V223" s="499" t="str">
        <f t="shared" si="214"/>
        <v/>
      </c>
      <c r="W223" s="499" t="str">
        <f t="shared" si="214"/>
        <v/>
      </c>
      <c r="X223" s="499">
        <f t="shared" si="214"/>
        <v>1972167.5</v>
      </c>
      <c r="Y223" s="499" t="str">
        <f t="shared" si="214"/>
        <v/>
      </c>
      <c r="Z223" s="499" t="str">
        <f t="shared" si="214"/>
        <v/>
      </c>
      <c r="AA223" s="499" t="str">
        <f t="shared" si="214"/>
        <v/>
      </c>
      <c r="AB223" s="499" t="str">
        <f t="shared" si="214"/>
        <v/>
      </c>
      <c r="AC223" s="499" t="str">
        <f t="shared" si="214"/>
        <v/>
      </c>
      <c r="AD223" s="499" t="str">
        <f t="shared" si="214"/>
        <v/>
      </c>
      <c r="AE223" s="499" t="str">
        <f t="shared" si="214"/>
        <v/>
      </c>
      <c r="AF223" s="499">
        <f t="shared" si="214"/>
        <v>841333.33333333337</v>
      </c>
      <c r="AG223" s="499" t="str">
        <f t="shared" si="214"/>
        <v/>
      </c>
      <c r="AH223" s="499" t="str">
        <f t="shared" si="214"/>
        <v/>
      </c>
      <c r="AI223" s="499" t="str">
        <f t="shared" ref="AI223:BN223" si="215">IF(AI163=1, AI$153/AI$156, "")</f>
        <v/>
      </c>
      <c r="AJ223" s="499">
        <f t="shared" si="215"/>
        <v>502016.5228571429</v>
      </c>
      <c r="AK223" s="499" t="str">
        <f t="shared" si="215"/>
        <v/>
      </c>
      <c r="AL223" s="499" t="str">
        <f t="shared" si="215"/>
        <v/>
      </c>
      <c r="AM223" s="499" t="str">
        <f t="shared" si="215"/>
        <v/>
      </c>
      <c r="AN223" s="499">
        <f t="shared" si="215"/>
        <v>84958.095714285722</v>
      </c>
      <c r="AO223" s="499" t="str">
        <f t="shared" si="215"/>
        <v/>
      </c>
      <c r="AP223" s="499" t="str">
        <f t="shared" si="215"/>
        <v/>
      </c>
      <c r="AQ223" s="499" t="str">
        <f t="shared" si="215"/>
        <v/>
      </c>
      <c r="AR223" s="499" t="str">
        <f t="shared" si="215"/>
        <v/>
      </c>
      <c r="AS223" s="499">
        <f t="shared" si="215"/>
        <v>459.625</v>
      </c>
      <c r="AT223" s="499">
        <f t="shared" si="215"/>
        <v>3115</v>
      </c>
      <c r="AU223" s="499" t="str">
        <f t="shared" si="215"/>
        <v/>
      </c>
      <c r="AV223" s="499" t="str">
        <f t="shared" si="215"/>
        <v/>
      </c>
      <c r="AW223" s="499" t="str">
        <f t="shared" si="215"/>
        <v/>
      </c>
      <c r="AX223" s="499">
        <f t="shared" si="215"/>
        <v>18534.400000000001</v>
      </c>
      <c r="AY223" s="499">
        <f t="shared" si="215"/>
        <v>203632.5625</v>
      </c>
      <c r="AZ223" s="499">
        <f t="shared" si="215"/>
        <v>70459</v>
      </c>
      <c r="BA223" s="499" t="str">
        <f t="shared" si="215"/>
        <v/>
      </c>
      <c r="BB223" s="499">
        <f t="shared" si="215"/>
        <v>28478.4375</v>
      </c>
      <c r="BC223" s="499">
        <f t="shared" si="215"/>
        <v>316637.30769230769</v>
      </c>
      <c r="BD223" s="499" t="str">
        <f t="shared" si="215"/>
        <v/>
      </c>
      <c r="BE223" s="499" t="str">
        <f t="shared" si="215"/>
        <v/>
      </c>
      <c r="BF223" s="499" t="str">
        <f t="shared" si="215"/>
        <v/>
      </c>
      <c r="BG223" s="499">
        <f t="shared" si="215"/>
        <v>657125</v>
      </c>
      <c r="BH223" s="499" t="str">
        <f t="shared" si="215"/>
        <v/>
      </c>
      <c r="BI223" s="499" t="str">
        <f t="shared" si="215"/>
        <v/>
      </c>
      <c r="BJ223" s="499" t="str">
        <f t="shared" si="215"/>
        <v/>
      </c>
      <c r="BK223" s="499" t="str">
        <f t="shared" si="215"/>
        <v/>
      </c>
      <c r="BL223" s="499" t="str">
        <f t="shared" si="215"/>
        <v/>
      </c>
      <c r="BM223" s="499" t="str">
        <f t="shared" si="215"/>
        <v/>
      </c>
      <c r="BN223" s="499" t="str">
        <f t="shared" si="215"/>
        <v/>
      </c>
      <c r="BO223" s="499" t="str">
        <f t="shared" ref="BO223:CT223" si="216">IF(BO163=1, BO$153/BO$156, "")</f>
        <v/>
      </c>
      <c r="BP223" s="499">
        <f t="shared" si="216"/>
        <v>972706.25</v>
      </c>
      <c r="BQ223" s="499" t="str">
        <f t="shared" si="216"/>
        <v/>
      </c>
      <c r="BR223" s="499" t="str">
        <f t="shared" si="216"/>
        <v/>
      </c>
      <c r="BS223" s="499" t="str">
        <f t="shared" si="216"/>
        <v/>
      </c>
      <c r="BT223" s="499">
        <f t="shared" si="216"/>
        <v>516090</v>
      </c>
      <c r="BU223" s="499" t="str">
        <f t="shared" si="216"/>
        <v/>
      </c>
      <c r="BV223" s="499" t="str">
        <f t="shared" si="216"/>
        <v/>
      </c>
      <c r="BW223" s="499" t="str">
        <f t="shared" si="216"/>
        <v/>
      </c>
      <c r="BX223" s="499" t="str">
        <f t="shared" si="216"/>
        <v/>
      </c>
      <c r="BY223" s="499" t="str">
        <f t="shared" si="216"/>
        <v/>
      </c>
      <c r="BZ223" s="499">
        <f t="shared" si="216"/>
        <v>4305</v>
      </c>
      <c r="CA223" s="499" t="str">
        <f t="shared" si="216"/>
        <v/>
      </c>
      <c r="CB223" s="499">
        <f t="shared" si="216"/>
        <v>120308.80952380951</v>
      </c>
      <c r="CC223" s="499" t="str">
        <f t="shared" si="216"/>
        <v/>
      </c>
      <c r="CD223" s="499" t="str">
        <f t="shared" si="216"/>
        <v/>
      </c>
      <c r="CE223" s="499" t="str">
        <f t="shared" si="216"/>
        <v/>
      </c>
      <c r="CF223" s="499" t="str">
        <f t="shared" si="216"/>
        <v/>
      </c>
      <c r="CG223" s="499" t="str">
        <f t="shared" si="216"/>
        <v/>
      </c>
      <c r="CH223" s="499" t="str">
        <f t="shared" si="216"/>
        <v/>
      </c>
      <c r="CI223" s="499" t="str">
        <f t="shared" si="216"/>
        <v/>
      </c>
      <c r="CJ223" s="499" t="str">
        <f t="shared" si="216"/>
        <v/>
      </c>
      <c r="CK223" s="499">
        <f t="shared" si="216"/>
        <v>433107.22222222225</v>
      </c>
      <c r="CL223" s="499">
        <f t="shared" si="216"/>
        <v>73.2</v>
      </c>
      <c r="CM223" s="499" t="str">
        <f t="shared" si="216"/>
        <v/>
      </c>
      <c r="CN223" s="499" t="str">
        <f t="shared" si="216"/>
        <v/>
      </c>
      <c r="CO223" s="499">
        <f t="shared" si="216"/>
        <v>90416.666666666672</v>
      </c>
      <c r="CP223" s="499" t="str">
        <f t="shared" si="216"/>
        <v/>
      </c>
      <c r="CQ223" s="499" t="str">
        <f t="shared" si="216"/>
        <v/>
      </c>
      <c r="CR223" s="499" t="str">
        <f t="shared" si="216"/>
        <v/>
      </c>
      <c r="CS223" s="499" t="str">
        <f t="shared" si="216"/>
        <v/>
      </c>
      <c r="CT223" s="499" t="str">
        <f t="shared" si="216"/>
        <v/>
      </c>
      <c r="CU223" s="499" t="str">
        <f t="shared" ref="CU223:DZ223" si="217">IF(CU163=1, CU$153/CU$156, "")</f>
        <v/>
      </c>
      <c r="CV223" s="499">
        <f t="shared" si="217"/>
        <v>7821</v>
      </c>
      <c r="CW223" s="499">
        <f t="shared" si="217"/>
        <v>580269.25</v>
      </c>
      <c r="CX223" s="499" t="str">
        <f t="shared" si="217"/>
        <v/>
      </c>
      <c r="CY223" s="499" t="str">
        <f t="shared" si="217"/>
        <v/>
      </c>
      <c r="CZ223" s="499" t="str">
        <f t="shared" si="217"/>
        <v/>
      </c>
      <c r="DA223" s="499" t="str">
        <f t="shared" si="217"/>
        <v/>
      </c>
      <c r="DB223" s="499">
        <f t="shared" si="217"/>
        <v>1991.6666666666667</v>
      </c>
      <c r="DC223" s="499">
        <f t="shared" si="217"/>
        <v>275823.3125</v>
      </c>
      <c r="DD223" s="499" t="str">
        <f t="shared" si="217"/>
        <v/>
      </c>
      <c r="DE223" s="499">
        <f t="shared" si="217"/>
        <v>570383.32615384622</v>
      </c>
      <c r="DF223" s="499" t="str">
        <f t="shared" si="217"/>
        <v/>
      </c>
      <c r="DG223" s="499">
        <f t="shared" si="217"/>
        <v>746651.66666666663</v>
      </c>
      <c r="DH223" s="499">
        <f t="shared" si="217"/>
        <v>75469.952428571429</v>
      </c>
      <c r="DI223" s="499" t="str">
        <f t="shared" si="217"/>
        <v/>
      </c>
      <c r="DJ223" s="499" t="str">
        <f t="shared" si="217"/>
        <v/>
      </c>
      <c r="DK223" s="499">
        <f t="shared" si="217"/>
        <v>375</v>
      </c>
      <c r="DL223" s="499" t="str">
        <f t="shared" si="217"/>
        <v/>
      </c>
      <c r="DM223" s="499" t="str">
        <f t="shared" si="217"/>
        <v/>
      </c>
      <c r="DN223" s="499">
        <f t="shared" si="217"/>
        <v>3350</v>
      </c>
      <c r="DO223" s="499" t="str">
        <f t="shared" si="217"/>
        <v/>
      </c>
      <c r="DP223" s="499" t="str">
        <f t="shared" si="217"/>
        <v/>
      </c>
      <c r="DQ223" s="499" t="str">
        <f t="shared" si="217"/>
        <v/>
      </c>
      <c r="DR223" s="499" t="str">
        <f t="shared" si="217"/>
        <v/>
      </c>
      <c r="DS223" s="499" t="str">
        <f t="shared" si="217"/>
        <v/>
      </c>
      <c r="DT223" s="499" t="str">
        <f t="shared" si="217"/>
        <v/>
      </c>
      <c r="DU223" s="499" t="str">
        <f t="shared" si="217"/>
        <v/>
      </c>
      <c r="DV223" s="499" t="str">
        <f t="shared" si="217"/>
        <v/>
      </c>
      <c r="DW223" s="499" t="str">
        <f t="shared" si="217"/>
        <v/>
      </c>
      <c r="DX223" s="499" t="str">
        <f t="shared" si="217"/>
        <v/>
      </c>
      <c r="DY223" s="499" t="str">
        <f t="shared" si="217"/>
        <v/>
      </c>
      <c r="DZ223" s="499" t="str">
        <f t="shared" si="217"/>
        <v/>
      </c>
      <c r="EA223" s="499" t="str">
        <f t="shared" ref="EA223:EI223" si="218">IF(EA163=1, EA$153/EA$156, "")</f>
        <v/>
      </c>
      <c r="EB223" s="499" t="str">
        <f t="shared" si="218"/>
        <v/>
      </c>
      <c r="EC223" s="499" t="str">
        <f t="shared" si="218"/>
        <v/>
      </c>
      <c r="ED223" s="499">
        <f t="shared" si="218"/>
        <v>750</v>
      </c>
      <c r="EE223" s="499">
        <f t="shared" si="218"/>
        <v>3138840.7142857141</v>
      </c>
      <c r="EF223" s="499">
        <f t="shared" si="218"/>
        <v>740478.33333333337</v>
      </c>
      <c r="EG223" s="499" t="str">
        <f t="shared" si="218"/>
        <v/>
      </c>
      <c r="EH223" s="499" t="str">
        <f t="shared" si="218"/>
        <v/>
      </c>
      <c r="EI223" s="499">
        <f t="shared" si="218"/>
        <v>44272.727272727272</v>
      </c>
      <c r="EJ223" s="499">
        <f t="shared" si="198"/>
        <v>13585161.069817295</v>
      </c>
      <c r="EK223" s="67"/>
      <c r="EL223" s="67"/>
      <c r="EM223" s="67"/>
      <c r="EN223" s="67"/>
      <c r="EO223" s="67"/>
      <c r="EP223" s="67"/>
      <c r="EQ223" s="67"/>
      <c r="ER223" s="67"/>
      <c r="ES223" s="67"/>
      <c r="ET223" s="67"/>
      <c r="EU223" s="67"/>
      <c r="EV223" s="67"/>
      <c r="EW223" s="67"/>
      <c r="EX223" s="67"/>
      <c r="EY223" s="67"/>
      <c r="EZ223" s="67"/>
    </row>
    <row r="224" spans="1:156">
      <c r="B224" s="500" t="s">
        <v>95</v>
      </c>
      <c r="C224" s="499" t="str">
        <f t="shared" ref="C224:AH224" si="219">IF(C164=1, C$153/C$156, "")</f>
        <v/>
      </c>
      <c r="D224" s="499" t="str">
        <f t="shared" si="219"/>
        <v/>
      </c>
      <c r="E224" s="499" t="str">
        <f t="shared" si="219"/>
        <v/>
      </c>
      <c r="F224" s="499" t="str">
        <f t="shared" si="219"/>
        <v/>
      </c>
      <c r="G224" s="499">
        <f t="shared" si="219"/>
        <v>545468.5</v>
      </c>
      <c r="H224" s="499">
        <f t="shared" si="219"/>
        <v>17291.6875</v>
      </c>
      <c r="I224" s="499" t="str">
        <f t="shared" si="219"/>
        <v/>
      </c>
      <c r="J224" s="499" t="str">
        <f t="shared" si="219"/>
        <v/>
      </c>
      <c r="K224" s="499" t="str">
        <f t="shared" si="219"/>
        <v/>
      </c>
      <c r="L224" s="499" t="str">
        <f t="shared" si="219"/>
        <v/>
      </c>
      <c r="M224" s="499" t="str">
        <f t="shared" si="219"/>
        <v/>
      </c>
      <c r="N224" s="499">
        <f t="shared" si="219"/>
        <v>1216666.6666666667</v>
      </c>
      <c r="O224" s="499" t="str">
        <f t="shared" si="219"/>
        <v/>
      </c>
      <c r="P224" s="499" t="str">
        <f t="shared" si="219"/>
        <v/>
      </c>
      <c r="Q224" s="499" t="str">
        <f t="shared" si="219"/>
        <v/>
      </c>
      <c r="R224" s="499" t="str">
        <f t="shared" si="219"/>
        <v/>
      </c>
      <c r="S224" s="499" t="str">
        <f t="shared" si="219"/>
        <v/>
      </c>
      <c r="T224" s="499" t="str">
        <f t="shared" si="219"/>
        <v/>
      </c>
      <c r="U224" s="499" t="str">
        <f t="shared" si="219"/>
        <v/>
      </c>
      <c r="V224" s="499" t="str">
        <f t="shared" si="219"/>
        <v/>
      </c>
      <c r="W224" s="499">
        <f t="shared" si="219"/>
        <v>15000</v>
      </c>
      <c r="X224" s="499">
        <f t="shared" si="219"/>
        <v>1972167.5</v>
      </c>
      <c r="Y224" s="499" t="str">
        <f t="shared" si="219"/>
        <v/>
      </c>
      <c r="Z224" s="499" t="str">
        <f t="shared" si="219"/>
        <v/>
      </c>
      <c r="AA224" s="499" t="str">
        <f t="shared" si="219"/>
        <v/>
      </c>
      <c r="AB224" s="499" t="str">
        <f t="shared" si="219"/>
        <v/>
      </c>
      <c r="AC224" s="499" t="str">
        <f t="shared" si="219"/>
        <v/>
      </c>
      <c r="AD224" s="499" t="str">
        <f t="shared" si="219"/>
        <v/>
      </c>
      <c r="AE224" s="499" t="str">
        <f t="shared" si="219"/>
        <v/>
      </c>
      <c r="AF224" s="499" t="str">
        <f t="shared" si="219"/>
        <v/>
      </c>
      <c r="AG224" s="499" t="str">
        <f t="shared" si="219"/>
        <v/>
      </c>
      <c r="AH224" s="499">
        <f t="shared" si="219"/>
        <v>543855.19999999995</v>
      </c>
      <c r="AI224" s="499" t="str">
        <f t="shared" ref="AI224:BN224" si="220">IF(AI164=1, AI$153/AI$156, "")</f>
        <v/>
      </c>
      <c r="AJ224" s="499">
        <f t="shared" si="220"/>
        <v>502016.5228571429</v>
      </c>
      <c r="AK224" s="499" t="str">
        <f t="shared" si="220"/>
        <v/>
      </c>
      <c r="AL224" s="499" t="str">
        <f t="shared" si="220"/>
        <v/>
      </c>
      <c r="AM224" s="499" t="str">
        <f t="shared" si="220"/>
        <v/>
      </c>
      <c r="AN224" s="499">
        <f t="shared" si="220"/>
        <v>84958.095714285722</v>
      </c>
      <c r="AO224" s="499" t="str">
        <f t="shared" si="220"/>
        <v/>
      </c>
      <c r="AP224" s="499" t="str">
        <f t="shared" si="220"/>
        <v/>
      </c>
      <c r="AQ224" s="499" t="str">
        <f t="shared" si="220"/>
        <v/>
      </c>
      <c r="AR224" s="499" t="str">
        <f t="shared" si="220"/>
        <v/>
      </c>
      <c r="AS224" s="499">
        <f t="shared" si="220"/>
        <v>459.625</v>
      </c>
      <c r="AT224" s="499">
        <f t="shared" si="220"/>
        <v>3115</v>
      </c>
      <c r="AU224" s="499" t="str">
        <f t="shared" si="220"/>
        <v/>
      </c>
      <c r="AV224" s="499">
        <f t="shared" si="220"/>
        <v>373.5</v>
      </c>
      <c r="AW224" s="499" t="str">
        <f t="shared" si="220"/>
        <v/>
      </c>
      <c r="AX224" s="499">
        <f t="shared" si="220"/>
        <v>18534.400000000001</v>
      </c>
      <c r="AY224" s="499">
        <f t="shared" si="220"/>
        <v>203632.5625</v>
      </c>
      <c r="AZ224" s="499" t="str">
        <f t="shared" si="220"/>
        <v/>
      </c>
      <c r="BA224" s="499">
        <f t="shared" si="220"/>
        <v>5607.1428571428569</v>
      </c>
      <c r="BB224" s="499">
        <f t="shared" si="220"/>
        <v>28478.4375</v>
      </c>
      <c r="BC224" s="499">
        <f t="shared" si="220"/>
        <v>316637.30769230769</v>
      </c>
      <c r="BD224" s="499">
        <f t="shared" si="220"/>
        <v>258987.85714285713</v>
      </c>
      <c r="BE224" s="499" t="str">
        <f t="shared" si="220"/>
        <v/>
      </c>
      <c r="BF224" s="499" t="str">
        <f t="shared" si="220"/>
        <v/>
      </c>
      <c r="BG224" s="499">
        <f t="shared" si="220"/>
        <v>657125</v>
      </c>
      <c r="BH224" s="499" t="str">
        <f t="shared" si="220"/>
        <v/>
      </c>
      <c r="BI224" s="499" t="str">
        <f t="shared" si="220"/>
        <v/>
      </c>
      <c r="BJ224" s="499" t="str">
        <f t="shared" si="220"/>
        <v/>
      </c>
      <c r="BK224" s="499" t="str">
        <f t="shared" si="220"/>
        <v/>
      </c>
      <c r="BL224" s="499" t="str">
        <f t="shared" si="220"/>
        <v/>
      </c>
      <c r="BM224" s="499" t="str">
        <f t="shared" si="220"/>
        <v/>
      </c>
      <c r="BN224" s="499" t="str">
        <f t="shared" si="220"/>
        <v/>
      </c>
      <c r="BO224" s="499" t="str">
        <f t="shared" ref="BO224:CT224" si="221">IF(BO164=1, BO$153/BO$156, "")</f>
        <v/>
      </c>
      <c r="BP224" s="499">
        <f t="shared" si="221"/>
        <v>972706.25</v>
      </c>
      <c r="BQ224" s="499" t="str">
        <f t="shared" si="221"/>
        <v/>
      </c>
      <c r="BR224" s="499" t="str">
        <f t="shared" si="221"/>
        <v/>
      </c>
      <c r="BS224" s="499" t="str">
        <f t="shared" si="221"/>
        <v/>
      </c>
      <c r="BT224" s="499">
        <f t="shared" si="221"/>
        <v>516090</v>
      </c>
      <c r="BU224" s="499" t="str">
        <f t="shared" si="221"/>
        <v/>
      </c>
      <c r="BV224" s="499" t="str">
        <f t="shared" si="221"/>
        <v/>
      </c>
      <c r="BW224" s="499" t="str">
        <f t="shared" si="221"/>
        <v/>
      </c>
      <c r="BX224" s="499" t="str">
        <f t="shared" si="221"/>
        <v/>
      </c>
      <c r="BY224" s="499" t="str">
        <f t="shared" si="221"/>
        <v/>
      </c>
      <c r="BZ224" s="499" t="str">
        <f t="shared" si="221"/>
        <v/>
      </c>
      <c r="CA224" s="499" t="str">
        <f t="shared" si="221"/>
        <v/>
      </c>
      <c r="CB224" s="499">
        <f t="shared" si="221"/>
        <v>120308.80952380951</v>
      </c>
      <c r="CC224" s="499" t="str">
        <f t="shared" si="221"/>
        <v/>
      </c>
      <c r="CD224" s="499" t="str">
        <f t="shared" si="221"/>
        <v/>
      </c>
      <c r="CE224" s="499" t="str">
        <f t="shared" si="221"/>
        <v/>
      </c>
      <c r="CF224" s="499" t="str">
        <f t="shared" si="221"/>
        <v/>
      </c>
      <c r="CG224" s="499" t="str">
        <f t="shared" si="221"/>
        <v/>
      </c>
      <c r="CH224" s="499" t="str">
        <f t="shared" si="221"/>
        <v/>
      </c>
      <c r="CI224" s="499" t="str">
        <f t="shared" si="221"/>
        <v/>
      </c>
      <c r="CJ224" s="499" t="str">
        <f t="shared" si="221"/>
        <v/>
      </c>
      <c r="CK224" s="499" t="str">
        <f t="shared" si="221"/>
        <v/>
      </c>
      <c r="CL224" s="499" t="str">
        <f t="shared" si="221"/>
        <v/>
      </c>
      <c r="CM224" s="499">
        <f t="shared" si="221"/>
        <v>923962</v>
      </c>
      <c r="CN224" s="499" t="str">
        <f t="shared" si="221"/>
        <v/>
      </c>
      <c r="CO224" s="499" t="str">
        <f t="shared" si="221"/>
        <v/>
      </c>
      <c r="CP224" s="499">
        <f t="shared" si="221"/>
        <v>684050</v>
      </c>
      <c r="CQ224" s="499" t="str">
        <f t="shared" si="221"/>
        <v/>
      </c>
      <c r="CR224" s="499" t="str">
        <f t="shared" si="221"/>
        <v/>
      </c>
      <c r="CS224" s="499" t="str">
        <f t="shared" si="221"/>
        <v/>
      </c>
      <c r="CT224" s="499" t="str">
        <f t="shared" si="221"/>
        <v/>
      </c>
      <c r="CU224" s="499" t="str">
        <f t="shared" ref="CU224:DZ224" si="222">IF(CU164=1, CU$153/CU$156, "")</f>
        <v/>
      </c>
      <c r="CV224" s="499">
        <f t="shared" si="222"/>
        <v>7821</v>
      </c>
      <c r="CW224" s="499">
        <f t="shared" si="222"/>
        <v>580269.25</v>
      </c>
      <c r="CX224" s="499" t="str">
        <f t="shared" si="222"/>
        <v/>
      </c>
      <c r="CY224" s="499" t="str">
        <f t="shared" si="222"/>
        <v/>
      </c>
      <c r="CZ224" s="499" t="str">
        <f t="shared" si="222"/>
        <v/>
      </c>
      <c r="DA224" s="499" t="str">
        <f t="shared" si="222"/>
        <v/>
      </c>
      <c r="DB224" s="499">
        <f t="shared" si="222"/>
        <v>1991.6666666666667</v>
      </c>
      <c r="DC224" s="499">
        <f t="shared" si="222"/>
        <v>275823.3125</v>
      </c>
      <c r="DD224" s="499" t="str">
        <f t="shared" si="222"/>
        <v/>
      </c>
      <c r="DE224" s="499">
        <f t="shared" si="222"/>
        <v>570383.32615384622</v>
      </c>
      <c r="DF224" s="499" t="str">
        <f t="shared" si="222"/>
        <v/>
      </c>
      <c r="DG224" s="499">
        <f t="shared" si="222"/>
        <v>746651.66666666663</v>
      </c>
      <c r="DH224" s="499">
        <f t="shared" si="222"/>
        <v>75469.952428571429</v>
      </c>
      <c r="DI224" s="499" t="str">
        <f t="shared" si="222"/>
        <v/>
      </c>
      <c r="DJ224" s="499" t="str">
        <f t="shared" si="222"/>
        <v/>
      </c>
      <c r="DK224" s="499">
        <f t="shared" si="222"/>
        <v>375</v>
      </c>
      <c r="DL224" s="499" t="str">
        <f t="shared" si="222"/>
        <v/>
      </c>
      <c r="DM224" s="499" t="str">
        <f t="shared" si="222"/>
        <v/>
      </c>
      <c r="DN224" s="499" t="str">
        <f t="shared" si="222"/>
        <v/>
      </c>
      <c r="DO224" s="499" t="str">
        <f t="shared" si="222"/>
        <v/>
      </c>
      <c r="DP224" s="499" t="str">
        <f t="shared" si="222"/>
        <v/>
      </c>
      <c r="DQ224" s="499">
        <f t="shared" si="222"/>
        <v>363750</v>
      </c>
      <c r="DR224" s="499" t="str">
        <f t="shared" si="222"/>
        <v/>
      </c>
      <c r="DS224" s="499" t="str">
        <f t="shared" si="222"/>
        <v/>
      </c>
      <c r="DT224" s="499" t="str">
        <f t="shared" si="222"/>
        <v/>
      </c>
      <c r="DU224" s="499">
        <f t="shared" si="222"/>
        <v>2935466.6666666665</v>
      </c>
      <c r="DV224" s="499" t="str">
        <f t="shared" si="222"/>
        <v/>
      </c>
      <c r="DW224" s="499" t="str">
        <f t="shared" si="222"/>
        <v/>
      </c>
      <c r="DX224" s="499" t="str">
        <f t="shared" si="222"/>
        <v/>
      </c>
      <c r="DY224" s="499" t="str">
        <f t="shared" si="222"/>
        <v/>
      </c>
      <c r="DZ224" s="499" t="str">
        <f t="shared" si="222"/>
        <v/>
      </c>
      <c r="EA224" s="499" t="str">
        <f t="shared" ref="EA224:EI224" si="223">IF(EA164=1, EA$153/EA$156, "")</f>
        <v/>
      </c>
      <c r="EB224" s="499" t="str">
        <f t="shared" si="223"/>
        <v/>
      </c>
      <c r="EC224" s="499" t="str">
        <f t="shared" si="223"/>
        <v/>
      </c>
      <c r="ED224" s="499" t="str">
        <f t="shared" si="223"/>
        <v/>
      </c>
      <c r="EE224" s="499">
        <f t="shared" si="223"/>
        <v>3138840.7142857141</v>
      </c>
      <c r="EF224" s="499">
        <f t="shared" si="223"/>
        <v>740478.33333333337</v>
      </c>
      <c r="EG224" s="499">
        <f t="shared" si="223"/>
        <v>77450</v>
      </c>
      <c r="EH224" s="499">
        <f t="shared" si="223"/>
        <v>186292.5</v>
      </c>
      <c r="EI224" s="499">
        <f t="shared" si="223"/>
        <v>44272.727272727272</v>
      </c>
      <c r="EJ224" s="499">
        <f t="shared" si="198"/>
        <v>19352828.180928402</v>
      </c>
      <c r="EK224" s="67"/>
      <c r="EL224" s="67"/>
      <c r="EM224" s="67"/>
      <c r="EN224" s="67"/>
      <c r="EO224" s="67"/>
      <c r="EP224" s="67"/>
      <c r="EQ224" s="67"/>
      <c r="ER224" s="67"/>
      <c r="ES224" s="67"/>
      <c r="ET224" s="67"/>
      <c r="EU224" s="67"/>
      <c r="EV224" s="67"/>
      <c r="EW224" s="67"/>
      <c r="EX224" s="67"/>
      <c r="EY224" s="67"/>
      <c r="EZ224" s="67"/>
    </row>
    <row r="225" spans="1:156">
      <c r="B225" s="500" t="s">
        <v>88</v>
      </c>
      <c r="C225" s="499" t="str">
        <f t="shared" ref="C225:AH225" si="224">IF(C165=1, C$153/C$156, "")</f>
        <v/>
      </c>
      <c r="D225" s="499" t="str">
        <f t="shared" si="224"/>
        <v/>
      </c>
      <c r="E225" s="499" t="str">
        <f t="shared" si="224"/>
        <v/>
      </c>
      <c r="F225" s="499" t="str">
        <f t="shared" si="224"/>
        <v/>
      </c>
      <c r="G225" s="499">
        <f t="shared" si="224"/>
        <v>545468.5</v>
      </c>
      <c r="H225" s="499">
        <f t="shared" si="224"/>
        <v>17291.6875</v>
      </c>
      <c r="I225" s="499" t="str">
        <f t="shared" si="224"/>
        <v/>
      </c>
      <c r="J225" s="499" t="str">
        <f t="shared" si="224"/>
        <v/>
      </c>
      <c r="K225" s="499" t="str">
        <f t="shared" si="224"/>
        <v/>
      </c>
      <c r="L225" s="499" t="str">
        <f t="shared" si="224"/>
        <v/>
      </c>
      <c r="M225" s="499" t="str">
        <f t="shared" si="224"/>
        <v/>
      </c>
      <c r="N225" s="499">
        <f t="shared" si="224"/>
        <v>1216666.6666666667</v>
      </c>
      <c r="O225" s="499" t="str">
        <f t="shared" si="224"/>
        <v/>
      </c>
      <c r="P225" s="499">
        <f t="shared" si="224"/>
        <v>746172</v>
      </c>
      <c r="Q225" s="499" t="str">
        <f t="shared" si="224"/>
        <v/>
      </c>
      <c r="R225" s="499" t="str">
        <f t="shared" si="224"/>
        <v/>
      </c>
      <c r="S225" s="499" t="str">
        <f t="shared" si="224"/>
        <v/>
      </c>
      <c r="T225" s="499">
        <f t="shared" si="224"/>
        <v>644574.66666666663</v>
      </c>
      <c r="U225" s="499" t="str">
        <f t="shared" si="224"/>
        <v/>
      </c>
      <c r="V225" s="499" t="str">
        <f t="shared" si="224"/>
        <v/>
      </c>
      <c r="W225" s="499" t="str">
        <f t="shared" si="224"/>
        <v/>
      </c>
      <c r="X225" s="499">
        <f t="shared" si="224"/>
        <v>1972167.5</v>
      </c>
      <c r="Y225" s="499" t="str">
        <f t="shared" si="224"/>
        <v/>
      </c>
      <c r="Z225" s="499">
        <f t="shared" si="224"/>
        <v>3333.3333333333335</v>
      </c>
      <c r="AA225" s="499" t="str">
        <f t="shared" si="224"/>
        <v/>
      </c>
      <c r="AB225" s="499" t="str">
        <f t="shared" si="224"/>
        <v/>
      </c>
      <c r="AC225" s="499" t="str">
        <f t="shared" si="224"/>
        <v/>
      </c>
      <c r="AD225" s="499" t="str">
        <f t="shared" si="224"/>
        <v/>
      </c>
      <c r="AE225" s="499" t="str">
        <f t="shared" si="224"/>
        <v/>
      </c>
      <c r="AF225" s="499" t="str">
        <f t="shared" si="224"/>
        <v/>
      </c>
      <c r="AG225" s="499" t="str">
        <f t="shared" si="224"/>
        <v/>
      </c>
      <c r="AH225" s="499" t="str">
        <f t="shared" si="224"/>
        <v/>
      </c>
      <c r="AI225" s="499" t="str">
        <f t="shared" ref="AI225:BN225" si="225">IF(AI165=1, AI$153/AI$156, "")</f>
        <v/>
      </c>
      <c r="AJ225" s="499" t="str">
        <f t="shared" si="225"/>
        <v/>
      </c>
      <c r="AK225" s="499" t="str">
        <f t="shared" si="225"/>
        <v/>
      </c>
      <c r="AL225" s="499">
        <f t="shared" si="225"/>
        <v>428546.81</v>
      </c>
      <c r="AM225" s="499" t="str">
        <f t="shared" si="225"/>
        <v/>
      </c>
      <c r="AN225" s="499" t="str">
        <f t="shared" si="225"/>
        <v/>
      </c>
      <c r="AO225" s="499">
        <f t="shared" si="225"/>
        <v>198235.55666666667</v>
      </c>
      <c r="AP225" s="499">
        <f t="shared" si="225"/>
        <v>66666.666666666672</v>
      </c>
      <c r="AQ225" s="499" t="str">
        <f t="shared" si="225"/>
        <v/>
      </c>
      <c r="AR225" s="499">
        <f t="shared" si="225"/>
        <v>138333.33333333334</v>
      </c>
      <c r="AS225" s="499" t="str">
        <f t="shared" si="225"/>
        <v/>
      </c>
      <c r="AT225" s="499" t="str">
        <f t="shared" si="225"/>
        <v/>
      </c>
      <c r="AU225" s="499">
        <f t="shared" si="225"/>
        <v>8341.75</v>
      </c>
      <c r="AV225" s="499">
        <f t="shared" si="225"/>
        <v>373.5</v>
      </c>
      <c r="AW225" s="499">
        <f t="shared" si="225"/>
        <v>2102.5</v>
      </c>
      <c r="AX225" s="499" t="str">
        <f t="shared" si="225"/>
        <v/>
      </c>
      <c r="AY225" s="499">
        <f t="shared" si="225"/>
        <v>203632.5625</v>
      </c>
      <c r="AZ225" s="499">
        <f t="shared" si="225"/>
        <v>70459</v>
      </c>
      <c r="BA225" s="499">
        <f t="shared" si="225"/>
        <v>5607.1428571428569</v>
      </c>
      <c r="BB225" s="499">
        <f t="shared" si="225"/>
        <v>28478.4375</v>
      </c>
      <c r="BC225" s="499">
        <f t="shared" si="225"/>
        <v>316637.30769230769</v>
      </c>
      <c r="BD225" s="499">
        <f t="shared" si="225"/>
        <v>258987.85714285713</v>
      </c>
      <c r="BE225" s="499">
        <f t="shared" si="225"/>
        <v>8400</v>
      </c>
      <c r="BF225" s="499" t="str">
        <f t="shared" si="225"/>
        <v/>
      </c>
      <c r="BG225" s="499">
        <f t="shared" si="225"/>
        <v>657125</v>
      </c>
      <c r="BH225" s="499" t="str">
        <f t="shared" si="225"/>
        <v/>
      </c>
      <c r="BI225" s="499" t="str">
        <f t="shared" si="225"/>
        <v/>
      </c>
      <c r="BJ225" s="499" t="str">
        <f t="shared" si="225"/>
        <v/>
      </c>
      <c r="BK225" s="499" t="str">
        <f t="shared" si="225"/>
        <v/>
      </c>
      <c r="BL225" s="499" t="str">
        <f t="shared" si="225"/>
        <v/>
      </c>
      <c r="BM225" s="499" t="str">
        <f t="shared" si="225"/>
        <v/>
      </c>
      <c r="BN225" s="499" t="str">
        <f t="shared" si="225"/>
        <v/>
      </c>
      <c r="BO225" s="499" t="str">
        <f t="shared" ref="BO225:CT225" si="226">IF(BO165=1, BO$153/BO$156, "")</f>
        <v/>
      </c>
      <c r="BP225" s="499">
        <f t="shared" si="226"/>
        <v>972706.25</v>
      </c>
      <c r="BQ225" s="499" t="str">
        <f t="shared" si="226"/>
        <v/>
      </c>
      <c r="BR225" s="499">
        <f t="shared" si="226"/>
        <v>8000</v>
      </c>
      <c r="BS225" s="499" t="str">
        <f t="shared" si="226"/>
        <v/>
      </c>
      <c r="BT225" s="499" t="str">
        <f t="shared" si="226"/>
        <v/>
      </c>
      <c r="BU225" s="499" t="str">
        <f t="shared" si="226"/>
        <v/>
      </c>
      <c r="BV225" s="499">
        <f t="shared" si="226"/>
        <v>1204210</v>
      </c>
      <c r="BW225" s="499" t="str">
        <f t="shared" si="226"/>
        <v/>
      </c>
      <c r="BX225" s="499" t="str">
        <f t="shared" si="226"/>
        <v/>
      </c>
      <c r="BY225" s="499" t="str">
        <f t="shared" si="226"/>
        <v/>
      </c>
      <c r="BZ225" s="499" t="str">
        <f t="shared" si="226"/>
        <v/>
      </c>
      <c r="CA225" s="499" t="str">
        <f t="shared" si="226"/>
        <v/>
      </c>
      <c r="CB225" s="499" t="str">
        <f t="shared" si="226"/>
        <v/>
      </c>
      <c r="CC225" s="499" t="str">
        <f t="shared" si="226"/>
        <v/>
      </c>
      <c r="CD225" s="499">
        <f t="shared" si="226"/>
        <v>6903.2222222222226</v>
      </c>
      <c r="CE225" s="499" t="str">
        <f t="shared" si="226"/>
        <v/>
      </c>
      <c r="CF225" s="499" t="str">
        <f t="shared" si="226"/>
        <v/>
      </c>
      <c r="CG225" s="499" t="str">
        <f t="shared" si="226"/>
        <v/>
      </c>
      <c r="CH225" s="499" t="str">
        <f t="shared" si="226"/>
        <v/>
      </c>
      <c r="CI225" s="499" t="str">
        <f t="shared" si="226"/>
        <v/>
      </c>
      <c r="CJ225" s="499" t="str">
        <f t="shared" si="226"/>
        <v/>
      </c>
      <c r="CK225" s="499">
        <f t="shared" si="226"/>
        <v>433107.22222222225</v>
      </c>
      <c r="CL225" s="499" t="str">
        <f t="shared" si="226"/>
        <v/>
      </c>
      <c r="CM225" s="499" t="str">
        <f t="shared" si="226"/>
        <v/>
      </c>
      <c r="CN225" s="499" t="str">
        <f t="shared" si="226"/>
        <v/>
      </c>
      <c r="CO225" s="499">
        <f t="shared" si="226"/>
        <v>90416.666666666672</v>
      </c>
      <c r="CP225" s="499">
        <f t="shared" si="226"/>
        <v>684050</v>
      </c>
      <c r="CQ225" s="499" t="str">
        <f t="shared" si="226"/>
        <v/>
      </c>
      <c r="CR225" s="499" t="str">
        <f t="shared" si="226"/>
        <v/>
      </c>
      <c r="CS225" s="499" t="str">
        <f t="shared" si="226"/>
        <v/>
      </c>
      <c r="CT225" s="499" t="str">
        <f t="shared" si="226"/>
        <v/>
      </c>
      <c r="CU225" s="499" t="str">
        <f t="shared" ref="CU225:DZ225" si="227">IF(CU165=1, CU$153/CU$156, "")</f>
        <v/>
      </c>
      <c r="CV225" s="499">
        <f t="shared" si="227"/>
        <v>7821</v>
      </c>
      <c r="CW225" s="499">
        <f t="shared" si="227"/>
        <v>580269.25</v>
      </c>
      <c r="CX225" s="499">
        <f t="shared" si="227"/>
        <v>67498.438000000009</v>
      </c>
      <c r="CY225" s="499" t="str">
        <f t="shared" si="227"/>
        <v/>
      </c>
      <c r="CZ225" s="499" t="str">
        <f t="shared" si="227"/>
        <v/>
      </c>
      <c r="DA225" s="499" t="str">
        <f t="shared" si="227"/>
        <v/>
      </c>
      <c r="DB225" s="499">
        <f t="shared" si="227"/>
        <v>1991.6666666666667</v>
      </c>
      <c r="DC225" s="499">
        <f t="shared" si="227"/>
        <v>275823.3125</v>
      </c>
      <c r="DD225" s="499" t="str">
        <f t="shared" si="227"/>
        <v/>
      </c>
      <c r="DE225" s="499">
        <f t="shared" si="227"/>
        <v>570383.32615384622</v>
      </c>
      <c r="DF225" s="499">
        <f t="shared" si="227"/>
        <v>66452</v>
      </c>
      <c r="DG225" s="499">
        <f t="shared" si="227"/>
        <v>746651.66666666663</v>
      </c>
      <c r="DH225" s="499" t="str">
        <f t="shared" si="227"/>
        <v/>
      </c>
      <c r="DI225" s="499" t="str">
        <f t="shared" si="227"/>
        <v/>
      </c>
      <c r="DJ225" s="499">
        <f t="shared" si="227"/>
        <v>176096.55666666664</v>
      </c>
      <c r="DK225" s="499">
        <f t="shared" si="227"/>
        <v>375</v>
      </c>
      <c r="DL225" s="499" t="str">
        <f t="shared" si="227"/>
        <v/>
      </c>
      <c r="DM225" s="499" t="str">
        <f t="shared" si="227"/>
        <v/>
      </c>
      <c r="DN225" s="499" t="str">
        <f t="shared" si="227"/>
        <v/>
      </c>
      <c r="DO225" s="499" t="str">
        <f t="shared" si="227"/>
        <v/>
      </c>
      <c r="DP225" s="499">
        <f t="shared" si="227"/>
        <v>787500</v>
      </c>
      <c r="DQ225" s="499" t="str">
        <f t="shared" si="227"/>
        <v/>
      </c>
      <c r="DR225" s="499" t="str">
        <f t="shared" si="227"/>
        <v/>
      </c>
      <c r="DS225" s="499" t="str">
        <f t="shared" si="227"/>
        <v/>
      </c>
      <c r="DT225" s="499" t="str">
        <f t="shared" si="227"/>
        <v/>
      </c>
      <c r="DU225" s="499" t="str">
        <f t="shared" si="227"/>
        <v/>
      </c>
      <c r="DV225" s="499" t="str">
        <f t="shared" si="227"/>
        <v/>
      </c>
      <c r="DW225" s="499" t="str">
        <f t="shared" si="227"/>
        <v/>
      </c>
      <c r="DX225" s="499" t="str">
        <f t="shared" si="227"/>
        <v/>
      </c>
      <c r="DY225" s="499" t="str">
        <f t="shared" si="227"/>
        <v/>
      </c>
      <c r="DZ225" s="499" t="str">
        <f t="shared" si="227"/>
        <v/>
      </c>
      <c r="EA225" s="499" t="str">
        <f t="shared" ref="EA225:EI225" si="228">IF(EA165=1, EA$153/EA$156, "")</f>
        <v/>
      </c>
      <c r="EB225" s="499" t="str">
        <f t="shared" si="228"/>
        <v/>
      </c>
      <c r="EC225" s="499" t="str">
        <f t="shared" si="228"/>
        <v/>
      </c>
      <c r="ED225" s="499" t="str">
        <f t="shared" si="228"/>
        <v/>
      </c>
      <c r="EE225" s="499">
        <f t="shared" si="228"/>
        <v>3138840.7142857141</v>
      </c>
      <c r="EF225" s="499">
        <f t="shared" si="228"/>
        <v>740478.33333333337</v>
      </c>
      <c r="EG225" s="499">
        <f t="shared" si="228"/>
        <v>77450</v>
      </c>
      <c r="EH225" s="499" t="str">
        <f t="shared" si="228"/>
        <v/>
      </c>
      <c r="EI225" s="499">
        <f t="shared" si="228"/>
        <v>44272.727272727272</v>
      </c>
      <c r="EJ225" s="499">
        <f t="shared" si="198"/>
        <v>18218899.131182369</v>
      </c>
      <c r="EK225" s="67"/>
      <c r="EL225" s="67"/>
      <c r="EM225" s="67"/>
      <c r="EN225" s="67"/>
      <c r="EO225" s="67"/>
      <c r="EP225" s="67"/>
      <c r="EQ225" s="67"/>
      <c r="ER225" s="67"/>
      <c r="ES225" s="67"/>
      <c r="ET225" s="67"/>
      <c r="EU225" s="67"/>
      <c r="EV225" s="67"/>
      <c r="EW225" s="67"/>
      <c r="EX225" s="67"/>
      <c r="EY225" s="67"/>
      <c r="EZ225" s="67"/>
    </row>
    <row r="226" spans="1:156">
      <c r="B226" s="500" t="s">
        <v>99</v>
      </c>
      <c r="C226" s="499" t="str">
        <f t="shared" ref="C226:AH226" si="229">IF(C166=1, C$153/C$156, "")</f>
        <v/>
      </c>
      <c r="D226" s="499" t="str">
        <f t="shared" si="229"/>
        <v/>
      </c>
      <c r="E226" s="499" t="str">
        <f t="shared" si="229"/>
        <v/>
      </c>
      <c r="F226" s="499" t="str">
        <f t="shared" si="229"/>
        <v/>
      </c>
      <c r="G226" s="499" t="str">
        <f t="shared" si="229"/>
        <v/>
      </c>
      <c r="H226" s="499">
        <f t="shared" si="229"/>
        <v>17291.6875</v>
      </c>
      <c r="I226" s="499" t="str">
        <f t="shared" si="229"/>
        <v/>
      </c>
      <c r="J226" s="499" t="str">
        <f t="shared" si="229"/>
        <v/>
      </c>
      <c r="K226" s="499" t="str">
        <f t="shared" si="229"/>
        <v/>
      </c>
      <c r="L226" s="499" t="str">
        <f t="shared" si="229"/>
        <v/>
      </c>
      <c r="M226" s="499" t="str">
        <f t="shared" si="229"/>
        <v/>
      </c>
      <c r="N226" s="499">
        <f t="shared" si="229"/>
        <v>1216666.6666666667</v>
      </c>
      <c r="O226" s="499" t="str">
        <f t="shared" si="229"/>
        <v/>
      </c>
      <c r="P226" s="499">
        <f t="shared" si="229"/>
        <v>746172</v>
      </c>
      <c r="Q226" s="499" t="str">
        <f t="shared" si="229"/>
        <v/>
      </c>
      <c r="R226" s="499" t="str">
        <f t="shared" si="229"/>
        <v/>
      </c>
      <c r="S226" s="499" t="str">
        <f t="shared" si="229"/>
        <v/>
      </c>
      <c r="T226" s="499">
        <f t="shared" si="229"/>
        <v>644574.66666666663</v>
      </c>
      <c r="U226" s="499" t="str">
        <f t="shared" si="229"/>
        <v/>
      </c>
      <c r="V226" s="499" t="str">
        <f t="shared" si="229"/>
        <v/>
      </c>
      <c r="W226" s="499" t="str">
        <f t="shared" si="229"/>
        <v/>
      </c>
      <c r="X226" s="499">
        <f t="shared" si="229"/>
        <v>1972167.5</v>
      </c>
      <c r="Y226" s="499" t="str">
        <f t="shared" si="229"/>
        <v/>
      </c>
      <c r="Z226" s="499">
        <f t="shared" si="229"/>
        <v>3333.3333333333335</v>
      </c>
      <c r="AA226" s="499" t="str">
        <f t="shared" si="229"/>
        <v/>
      </c>
      <c r="AB226" s="499" t="str">
        <f t="shared" si="229"/>
        <v/>
      </c>
      <c r="AC226" s="499" t="str">
        <f t="shared" si="229"/>
        <v/>
      </c>
      <c r="AD226" s="499" t="str">
        <f t="shared" si="229"/>
        <v/>
      </c>
      <c r="AE226" s="499" t="str">
        <f t="shared" si="229"/>
        <v/>
      </c>
      <c r="AF226" s="499" t="str">
        <f t="shared" si="229"/>
        <v/>
      </c>
      <c r="AG226" s="499" t="str">
        <f t="shared" si="229"/>
        <v/>
      </c>
      <c r="AH226" s="499">
        <f t="shared" si="229"/>
        <v>543855.19999999995</v>
      </c>
      <c r="AI226" s="499" t="str">
        <f t="shared" ref="AI226:BN226" si="230">IF(AI166=1, AI$153/AI$156, "")</f>
        <v/>
      </c>
      <c r="AJ226" s="499" t="str">
        <f t="shared" si="230"/>
        <v/>
      </c>
      <c r="AK226" s="499" t="str">
        <f t="shared" si="230"/>
        <v/>
      </c>
      <c r="AL226" s="499">
        <f t="shared" si="230"/>
        <v>428546.81</v>
      </c>
      <c r="AM226" s="499" t="str">
        <f t="shared" si="230"/>
        <v/>
      </c>
      <c r="AN226" s="499" t="str">
        <f t="shared" si="230"/>
        <v/>
      </c>
      <c r="AO226" s="499">
        <f t="shared" si="230"/>
        <v>198235.55666666667</v>
      </c>
      <c r="AP226" s="499" t="str">
        <f t="shared" si="230"/>
        <v/>
      </c>
      <c r="AQ226" s="499" t="str">
        <f t="shared" si="230"/>
        <v/>
      </c>
      <c r="AR226" s="499">
        <f t="shared" si="230"/>
        <v>138333.33333333334</v>
      </c>
      <c r="AS226" s="499">
        <f t="shared" si="230"/>
        <v>459.625</v>
      </c>
      <c r="AT226" s="499" t="str">
        <f t="shared" si="230"/>
        <v/>
      </c>
      <c r="AU226" s="499">
        <f t="shared" si="230"/>
        <v>8341.75</v>
      </c>
      <c r="AV226" s="499" t="str">
        <f t="shared" si="230"/>
        <v/>
      </c>
      <c r="AW226" s="499">
        <f t="shared" si="230"/>
        <v>2102.5</v>
      </c>
      <c r="AX226" s="499" t="str">
        <f t="shared" si="230"/>
        <v/>
      </c>
      <c r="AY226" s="499">
        <f t="shared" si="230"/>
        <v>203632.5625</v>
      </c>
      <c r="AZ226" s="499" t="str">
        <f t="shared" si="230"/>
        <v/>
      </c>
      <c r="BA226" s="499">
        <f t="shared" si="230"/>
        <v>5607.1428571428569</v>
      </c>
      <c r="BB226" s="499">
        <f t="shared" si="230"/>
        <v>28478.4375</v>
      </c>
      <c r="BC226" s="499">
        <f t="shared" si="230"/>
        <v>316637.30769230769</v>
      </c>
      <c r="BD226" s="499">
        <f t="shared" si="230"/>
        <v>258987.85714285713</v>
      </c>
      <c r="BE226" s="499" t="str">
        <f t="shared" si="230"/>
        <v/>
      </c>
      <c r="BF226" s="499">
        <f t="shared" si="230"/>
        <v>115000</v>
      </c>
      <c r="BG226" s="499">
        <f t="shared" si="230"/>
        <v>657125</v>
      </c>
      <c r="BH226" s="499" t="str">
        <f t="shared" si="230"/>
        <v/>
      </c>
      <c r="BI226" s="499" t="str">
        <f t="shared" si="230"/>
        <v/>
      </c>
      <c r="BJ226" s="499" t="str">
        <f t="shared" si="230"/>
        <v/>
      </c>
      <c r="BK226" s="499" t="str">
        <f t="shared" si="230"/>
        <v/>
      </c>
      <c r="BL226" s="499" t="str">
        <f t="shared" si="230"/>
        <v/>
      </c>
      <c r="BM226" s="499" t="str">
        <f t="shared" si="230"/>
        <v/>
      </c>
      <c r="BN226" s="499" t="str">
        <f t="shared" si="230"/>
        <v/>
      </c>
      <c r="BO226" s="499" t="str">
        <f t="shared" ref="BO226:CT226" si="231">IF(BO166=1, BO$153/BO$156, "")</f>
        <v/>
      </c>
      <c r="BP226" s="499">
        <f t="shared" si="231"/>
        <v>972706.25</v>
      </c>
      <c r="BQ226" s="499" t="str">
        <f t="shared" si="231"/>
        <v/>
      </c>
      <c r="BR226" s="499" t="str">
        <f t="shared" si="231"/>
        <v/>
      </c>
      <c r="BS226" s="499" t="str">
        <f t="shared" si="231"/>
        <v/>
      </c>
      <c r="BT226" s="499" t="str">
        <f t="shared" si="231"/>
        <v/>
      </c>
      <c r="BU226" s="499" t="str">
        <f t="shared" si="231"/>
        <v/>
      </c>
      <c r="BV226" s="499">
        <f t="shared" si="231"/>
        <v>1204210</v>
      </c>
      <c r="BW226" s="499" t="str">
        <f t="shared" si="231"/>
        <v/>
      </c>
      <c r="BX226" s="499" t="str">
        <f t="shared" si="231"/>
        <v/>
      </c>
      <c r="BY226" s="499" t="str">
        <f t="shared" si="231"/>
        <v/>
      </c>
      <c r="BZ226" s="499" t="str">
        <f t="shared" si="231"/>
        <v/>
      </c>
      <c r="CA226" s="499" t="str">
        <f t="shared" si="231"/>
        <v/>
      </c>
      <c r="CB226" s="499" t="str">
        <f t="shared" si="231"/>
        <v/>
      </c>
      <c r="CC226" s="499" t="str">
        <f t="shared" si="231"/>
        <v/>
      </c>
      <c r="CD226" s="499">
        <f t="shared" si="231"/>
        <v>6903.2222222222226</v>
      </c>
      <c r="CE226" s="499" t="str">
        <f t="shared" si="231"/>
        <v/>
      </c>
      <c r="CF226" s="499" t="str">
        <f t="shared" si="231"/>
        <v/>
      </c>
      <c r="CG226" s="499" t="str">
        <f t="shared" si="231"/>
        <v/>
      </c>
      <c r="CH226" s="499" t="str">
        <f t="shared" si="231"/>
        <v/>
      </c>
      <c r="CI226" s="499">
        <f t="shared" si="231"/>
        <v>30000</v>
      </c>
      <c r="CJ226" s="499" t="str">
        <f t="shared" si="231"/>
        <v/>
      </c>
      <c r="CK226" s="499" t="str">
        <f t="shared" si="231"/>
        <v/>
      </c>
      <c r="CL226" s="499" t="str">
        <f t="shared" si="231"/>
        <v/>
      </c>
      <c r="CM226" s="499" t="str">
        <f t="shared" si="231"/>
        <v/>
      </c>
      <c r="CN226" s="499" t="str">
        <f t="shared" si="231"/>
        <v/>
      </c>
      <c r="CO226" s="499">
        <f t="shared" si="231"/>
        <v>90416.666666666672</v>
      </c>
      <c r="CP226" s="499" t="str">
        <f t="shared" si="231"/>
        <v/>
      </c>
      <c r="CQ226" s="499" t="str">
        <f t="shared" si="231"/>
        <v/>
      </c>
      <c r="CR226" s="499" t="str">
        <f t="shared" si="231"/>
        <v/>
      </c>
      <c r="CS226" s="499" t="str">
        <f t="shared" si="231"/>
        <v/>
      </c>
      <c r="CT226" s="499" t="str">
        <f t="shared" si="231"/>
        <v/>
      </c>
      <c r="CU226" s="499" t="str">
        <f t="shared" ref="CU226:DZ226" si="232">IF(CU166=1, CU$153/CU$156, "")</f>
        <v/>
      </c>
      <c r="CV226" s="499" t="str">
        <f t="shared" si="232"/>
        <v/>
      </c>
      <c r="CW226" s="499">
        <f t="shared" si="232"/>
        <v>580269.25</v>
      </c>
      <c r="CX226" s="499">
        <f t="shared" si="232"/>
        <v>67498.438000000009</v>
      </c>
      <c r="CY226" s="499" t="str">
        <f t="shared" si="232"/>
        <v/>
      </c>
      <c r="CZ226" s="499" t="str">
        <f t="shared" si="232"/>
        <v/>
      </c>
      <c r="DA226" s="499" t="str">
        <f t="shared" si="232"/>
        <v/>
      </c>
      <c r="DB226" s="499">
        <f t="shared" si="232"/>
        <v>1991.6666666666667</v>
      </c>
      <c r="DC226" s="499">
        <f t="shared" si="232"/>
        <v>275823.3125</v>
      </c>
      <c r="DD226" s="499" t="str">
        <f t="shared" si="232"/>
        <v/>
      </c>
      <c r="DE226" s="499">
        <f t="shared" si="232"/>
        <v>570383.32615384622</v>
      </c>
      <c r="DF226" s="499" t="str">
        <f t="shared" si="232"/>
        <v/>
      </c>
      <c r="DG226" s="499">
        <f t="shared" si="232"/>
        <v>746651.66666666663</v>
      </c>
      <c r="DH226" s="499" t="str">
        <f t="shared" si="232"/>
        <v/>
      </c>
      <c r="DI226" s="499" t="str">
        <f t="shared" si="232"/>
        <v/>
      </c>
      <c r="DJ226" s="499">
        <f t="shared" si="232"/>
        <v>176096.55666666664</v>
      </c>
      <c r="DK226" s="499">
        <f t="shared" si="232"/>
        <v>375</v>
      </c>
      <c r="DL226" s="499" t="str">
        <f t="shared" si="232"/>
        <v/>
      </c>
      <c r="DM226" s="499" t="str">
        <f t="shared" si="232"/>
        <v/>
      </c>
      <c r="DN226" s="499" t="str">
        <f t="shared" si="232"/>
        <v/>
      </c>
      <c r="DO226" s="499" t="str">
        <f t="shared" si="232"/>
        <v/>
      </c>
      <c r="DP226" s="499" t="str">
        <f t="shared" si="232"/>
        <v/>
      </c>
      <c r="DQ226" s="499">
        <f t="shared" si="232"/>
        <v>363750</v>
      </c>
      <c r="DR226" s="499" t="str">
        <f t="shared" si="232"/>
        <v/>
      </c>
      <c r="DS226" s="499" t="str">
        <f t="shared" si="232"/>
        <v/>
      </c>
      <c r="DT226" s="499" t="str">
        <f t="shared" si="232"/>
        <v/>
      </c>
      <c r="DU226" s="499" t="str">
        <f t="shared" si="232"/>
        <v/>
      </c>
      <c r="DV226" s="499" t="str">
        <f t="shared" si="232"/>
        <v/>
      </c>
      <c r="DW226" s="499" t="str">
        <f t="shared" si="232"/>
        <v/>
      </c>
      <c r="DX226" s="499" t="str">
        <f t="shared" si="232"/>
        <v/>
      </c>
      <c r="DY226" s="499" t="str">
        <f t="shared" si="232"/>
        <v/>
      </c>
      <c r="DZ226" s="499" t="str">
        <f t="shared" si="232"/>
        <v/>
      </c>
      <c r="EA226" s="499" t="str">
        <f t="shared" ref="EA226:EI226" si="233">IF(EA166=1, EA$153/EA$156, "")</f>
        <v/>
      </c>
      <c r="EB226" s="499" t="str">
        <f t="shared" si="233"/>
        <v/>
      </c>
      <c r="EC226" s="499" t="str">
        <f t="shared" si="233"/>
        <v/>
      </c>
      <c r="ED226" s="499" t="str">
        <f t="shared" si="233"/>
        <v/>
      </c>
      <c r="EE226" s="499">
        <f t="shared" si="233"/>
        <v>3138840.7142857141</v>
      </c>
      <c r="EF226" s="499">
        <f t="shared" si="233"/>
        <v>740478.33333333337</v>
      </c>
      <c r="EG226" s="499" t="str">
        <f t="shared" si="233"/>
        <v/>
      </c>
      <c r="EH226" s="499" t="str">
        <f t="shared" si="233"/>
        <v/>
      </c>
      <c r="EI226" s="499">
        <f t="shared" si="233"/>
        <v>44272.727272727272</v>
      </c>
      <c r="EJ226" s="499">
        <f t="shared" si="198"/>
        <v>16516216.067293482</v>
      </c>
      <c r="EK226" s="67"/>
      <c r="EL226" s="67"/>
      <c r="EM226" s="67"/>
      <c r="EN226" s="67"/>
      <c r="EO226" s="67"/>
      <c r="EP226" s="67"/>
      <c r="EQ226" s="67"/>
      <c r="ER226" s="67"/>
      <c r="ES226" s="67"/>
      <c r="ET226" s="67"/>
      <c r="EU226" s="67"/>
      <c r="EV226" s="67"/>
      <c r="EW226" s="67"/>
      <c r="EX226" s="67"/>
      <c r="EY226" s="67"/>
      <c r="EZ226" s="67"/>
    </row>
    <row r="227" spans="1:156">
      <c r="B227" s="500" t="s">
        <v>87</v>
      </c>
      <c r="C227" s="499" t="str">
        <f t="shared" ref="C227:AH227" si="234">IF(C167=1, C$153/C$156, "")</f>
        <v/>
      </c>
      <c r="D227" s="499" t="str">
        <f t="shared" si="234"/>
        <v/>
      </c>
      <c r="E227" s="499" t="str">
        <f t="shared" si="234"/>
        <v/>
      </c>
      <c r="F227" s="499" t="str">
        <f t="shared" si="234"/>
        <v/>
      </c>
      <c r="G227" s="499">
        <f t="shared" si="234"/>
        <v>545468.5</v>
      </c>
      <c r="H227" s="499">
        <f t="shared" si="234"/>
        <v>17291.6875</v>
      </c>
      <c r="I227" s="499" t="str">
        <f t="shared" si="234"/>
        <v/>
      </c>
      <c r="J227" s="499" t="str">
        <f t="shared" si="234"/>
        <v/>
      </c>
      <c r="K227" s="499" t="str">
        <f t="shared" si="234"/>
        <v/>
      </c>
      <c r="L227" s="499" t="str">
        <f t="shared" si="234"/>
        <v/>
      </c>
      <c r="M227" s="499" t="str">
        <f t="shared" si="234"/>
        <v/>
      </c>
      <c r="N227" s="499">
        <f t="shared" si="234"/>
        <v>1216666.6666666667</v>
      </c>
      <c r="O227" s="499" t="str">
        <f t="shared" si="234"/>
        <v/>
      </c>
      <c r="P227" s="499" t="str">
        <f t="shared" si="234"/>
        <v/>
      </c>
      <c r="Q227" s="499" t="str">
        <f t="shared" si="234"/>
        <v/>
      </c>
      <c r="R227" s="499" t="str">
        <f t="shared" si="234"/>
        <v/>
      </c>
      <c r="S227" s="499" t="str">
        <f t="shared" si="234"/>
        <v/>
      </c>
      <c r="T227" s="499">
        <f t="shared" si="234"/>
        <v>644574.66666666663</v>
      </c>
      <c r="U227" s="499" t="str">
        <f t="shared" si="234"/>
        <v/>
      </c>
      <c r="V227" s="499" t="str">
        <f t="shared" si="234"/>
        <v/>
      </c>
      <c r="W227" s="499" t="str">
        <f t="shared" si="234"/>
        <v/>
      </c>
      <c r="X227" s="499">
        <f t="shared" si="234"/>
        <v>1972167.5</v>
      </c>
      <c r="Y227" s="499" t="str">
        <f t="shared" si="234"/>
        <v/>
      </c>
      <c r="Z227" s="499">
        <f t="shared" si="234"/>
        <v>3333.3333333333335</v>
      </c>
      <c r="AA227" s="499" t="str">
        <f t="shared" si="234"/>
        <v/>
      </c>
      <c r="AB227" s="499" t="str">
        <f t="shared" si="234"/>
        <v/>
      </c>
      <c r="AC227" s="499" t="str">
        <f t="shared" si="234"/>
        <v/>
      </c>
      <c r="AD227" s="499" t="str">
        <f t="shared" si="234"/>
        <v/>
      </c>
      <c r="AE227" s="499" t="str">
        <f t="shared" si="234"/>
        <v/>
      </c>
      <c r="AF227" s="499" t="str">
        <f t="shared" si="234"/>
        <v/>
      </c>
      <c r="AG227" s="499" t="str">
        <f t="shared" si="234"/>
        <v/>
      </c>
      <c r="AH227" s="499">
        <f t="shared" si="234"/>
        <v>543855.19999999995</v>
      </c>
      <c r="AI227" s="499" t="str">
        <f t="shared" ref="AI227:BN227" si="235">IF(AI167=1, AI$153/AI$156, "")</f>
        <v/>
      </c>
      <c r="AJ227" s="499" t="str">
        <f t="shared" si="235"/>
        <v/>
      </c>
      <c r="AK227" s="499" t="str">
        <f t="shared" si="235"/>
        <v/>
      </c>
      <c r="AL227" s="499">
        <f t="shared" si="235"/>
        <v>428546.81</v>
      </c>
      <c r="AM227" s="499" t="str">
        <f t="shared" si="235"/>
        <v/>
      </c>
      <c r="AN227" s="499" t="str">
        <f t="shared" si="235"/>
        <v/>
      </c>
      <c r="AO227" s="499">
        <f t="shared" si="235"/>
        <v>198235.55666666667</v>
      </c>
      <c r="AP227" s="499">
        <f t="shared" si="235"/>
        <v>66666.666666666672</v>
      </c>
      <c r="AQ227" s="499" t="str">
        <f t="shared" si="235"/>
        <v/>
      </c>
      <c r="AR227" s="499" t="str">
        <f t="shared" si="235"/>
        <v/>
      </c>
      <c r="AS227" s="499">
        <f t="shared" si="235"/>
        <v>459.625</v>
      </c>
      <c r="AT227" s="499" t="str">
        <f t="shared" si="235"/>
        <v/>
      </c>
      <c r="AU227" s="499" t="str">
        <f t="shared" si="235"/>
        <v/>
      </c>
      <c r="AV227" s="499" t="str">
        <f t="shared" si="235"/>
        <v/>
      </c>
      <c r="AW227" s="499" t="str">
        <f t="shared" si="235"/>
        <v/>
      </c>
      <c r="AX227" s="499">
        <f t="shared" si="235"/>
        <v>18534.400000000001</v>
      </c>
      <c r="AY227" s="499">
        <f t="shared" si="235"/>
        <v>203632.5625</v>
      </c>
      <c r="AZ227" s="499" t="str">
        <f t="shared" si="235"/>
        <v/>
      </c>
      <c r="BA227" s="499" t="str">
        <f t="shared" si="235"/>
        <v/>
      </c>
      <c r="BB227" s="499">
        <f t="shared" si="235"/>
        <v>28478.4375</v>
      </c>
      <c r="BC227" s="499">
        <f t="shared" si="235"/>
        <v>316637.30769230769</v>
      </c>
      <c r="BD227" s="499" t="str">
        <f t="shared" si="235"/>
        <v/>
      </c>
      <c r="BE227" s="499">
        <f t="shared" si="235"/>
        <v>8400</v>
      </c>
      <c r="BF227" s="499" t="str">
        <f t="shared" si="235"/>
        <v/>
      </c>
      <c r="BG227" s="499">
        <f t="shared" si="235"/>
        <v>657125</v>
      </c>
      <c r="BH227" s="499" t="str">
        <f t="shared" si="235"/>
        <v/>
      </c>
      <c r="BI227" s="499" t="str">
        <f t="shared" si="235"/>
        <v/>
      </c>
      <c r="BJ227" s="499" t="str">
        <f t="shared" si="235"/>
        <v/>
      </c>
      <c r="BK227" s="499" t="str">
        <f t="shared" si="235"/>
        <v/>
      </c>
      <c r="BL227" s="499" t="str">
        <f t="shared" si="235"/>
        <v/>
      </c>
      <c r="BM227" s="499" t="str">
        <f t="shared" si="235"/>
        <v/>
      </c>
      <c r="BN227" s="499" t="str">
        <f t="shared" si="235"/>
        <v/>
      </c>
      <c r="BO227" s="499" t="str">
        <f t="shared" ref="BO227:CT227" si="236">IF(BO167=1, BO$153/BO$156, "")</f>
        <v/>
      </c>
      <c r="BP227" s="499">
        <f t="shared" si="236"/>
        <v>972706.25</v>
      </c>
      <c r="BQ227" s="499" t="str">
        <f t="shared" si="236"/>
        <v/>
      </c>
      <c r="BR227" s="499">
        <f t="shared" si="236"/>
        <v>8000</v>
      </c>
      <c r="BS227" s="499" t="str">
        <f t="shared" si="236"/>
        <v/>
      </c>
      <c r="BT227" s="499" t="str">
        <f t="shared" si="236"/>
        <v/>
      </c>
      <c r="BU227" s="499" t="str">
        <f t="shared" si="236"/>
        <v/>
      </c>
      <c r="BV227" s="499">
        <f t="shared" si="236"/>
        <v>1204210</v>
      </c>
      <c r="BW227" s="499" t="str">
        <f t="shared" si="236"/>
        <v/>
      </c>
      <c r="BX227" s="499" t="str">
        <f t="shared" si="236"/>
        <v/>
      </c>
      <c r="BY227" s="499" t="str">
        <f t="shared" si="236"/>
        <v/>
      </c>
      <c r="BZ227" s="499" t="str">
        <f t="shared" si="236"/>
        <v/>
      </c>
      <c r="CA227" s="499" t="str">
        <f t="shared" si="236"/>
        <v/>
      </c>
      <c r="CB227" s="499" t="str">
        <f t="shared" si="236"/>
        <v/>
      </c>
      <c r="CC227" s="499" t="str">
        <f t="shared" si="236"/>
        <v/>
      </c>
      <c r="CD227" s="499">
        <f t="shared" si="236"/>
        <v>6903.2222222222226</v>
      </c>
      <c r="CE227" s="499" t="str">
        <f t="shared" si="236"/>
        <v/>
      </c>
      <c r="CF227" s="499" t="str">
        <f t="shared" si="236"/>
        <v/>
      </c>
      <c r="CG227" s="499" t="str">
        <f t="shared" si="236"/>
        <v/>
      </c>
      <c r="CH227" s="499" t="str">
        <f t="shared" si="236"/>
        <v/>
      </c>
      <c r="CI227" s="499" t="str">
        <f t="shared" si="236"/>
        <v/>
      </c>
      <c r="CJ227" s="499" t="str">
        <f t="shared" si="236"/>
        <v/>
      </c>
      <c r="CK227" s="499" t="str">
        <f t="shared" si="236"/>
        <v/>
      </c>
      <c r="CL227" s="499" t="str">
        <f t="shared" si="236"/>
        <v/>
      </c>
      <c r="CM227" s="499" t="str">
        <f t="shared" si="236"/>
        <v/>
      </c>
      <c r="CN227" s="499" t="str">
        <f t="shared" si="236"/>
        <v/>
      </c>
      <c r="CO227" s="499">
        <f t="shared" si="236"/>
        <v>90416.666666666672</v>
      </c>
      <c r="CP227" s="499" t="str">
        <f t="shared" si="236"/>
        <v/>
      </c>
      <c r="CQ227" s="499" t="str">
        <f t="shared" si="236"/>
        <v/>
      </c>
      <c r="CR227" s="499" t="str">
        <f t="shared" si="236"/>
        <v/>
      </c>
      <c r="CS227" s="499" t="str">
        <f t="shared" si="236"/>
        <v/>
      </c>
      <c r="CT227" s="499" t="str">
        <f t="shared" si="236"/>
        <v/>
      </c>
      <c r="CU227" s="499" t="str">
        <f t="shared" ref="CU227:DZ227" si="237">IF(CU167=1, CU$153/CU$156, "")</f>
        <v/>
      </c>
      <c r="CV227" s="499">
        <f t="shared" si="237"/>
        <v>7821</v>
      </c>
      <c r="CW227" s="499">
        <f t="shared" si="237"/>
        <v>580269.25</v>
      </c>
      <c r="CX227" s="499">
        <f t="shared" si="237"/>
        <v>67498.438000000009</v>
      </c>
      <c r="CY227" s="499" t="str">
        <f t="shared" si="237"/>
        <v/>
      </c>
      <c r="CZ227" s="499" t="str">
        <f t="shared" si="237"/>
        <v/>
      </c>
      <c r="DA227" s="499" t="str">
        <f t="shared" si="237"/>
        <v/>
      </c>
      <c r="DB227" s="499">
        <f t="shared" si="237"/>
        <v>1991.6666666666667</v>
      </c>
      <c r="DC227" s="499">
        <f t="shared" si="237"/>
        <v>275823.3125</v>
      </c>
      <c r="DD227" s="499" t="str">
        <f t="shared" si="237"/>
        <v/>
      </c>
      <c r="DE227" s="499">
        <f t="shared" si="237"/>
        <v>570383.32615384622</v>
      </c>
      <c r="DF227" s="499">
        <f t="shared" si="237"/>
        <v>66452</v>
      </c>
      <c r="DG227" s="499">
        <f t="shared" si="237"/>
        <v>746651.66666666663</v>
      </c>
      <c r="DH227" s="499" t="str">
        <f t="shared" si="237"/>
        <v/>
      </c>
      <c r="DI227" s="499" t="str">
        <f t="shared" si="237"/>
        <v/>
      </c>
      <c r="DJ227" s="499">
        <f t="shared" si="237"/>
        <v>176096.55666666664</v>
      </c>
      <c r="DK227" s="499">
        <f t="shared" si="237"/>
        <v>375</v>
      </c>
      <c r="DL227" s="499" t="str">
        <f t="shared" si="237"/>
        <v/>
      </c>
      <c r="DM227" s="499">
        <f t="shared" si="237"/>
        <v>13133.5</v>
      </c>
      <c r="DN227" s="499" t="str">
        <f t="shared" si="237"/>
        <v/>
      </c>
      <c r="DO227" s="499" t="str">
        <f t="shared" si="237"/>
        <v/>
      </c>
      <c r="DP227" s="499" t="str">
        <f t="shared" si="237"/>
        <v/>
      </c>
      <c r="DQ227" s="499" t="str">
        <f t="shared" si="237"/>
        <v/>
      </c>
      <c r="DR227" s="499" t="str">
        <f t="shared" si="237"/>
        <v/>
      </c>
      <c r="DS227" s="499" t="str">
        <f t="shared" si="237"/>
        <v/>
      </c>
      <c r="DT227" s="499" t="str">
        <f t="shared" si="237"/>
        <v/>
      </c>
      <c r="DU227" s="499" t="str">
        <f t="shared" si="237"/>
        <v/>
      </c>
      <c r="DV227" s="499" t="str">
        <f t="shared" si="237"/>
        <v/>
      </c>
      <c r="DW227" s="499" t="str">
        <f t="shared" si="237"/>
        <v/>
      </c>
      <c r="DX227" s="499" t="str">
        <f t="shared" si="237"/>
        <v/>
      </c>
      <c r="DY227" s="499" t="str">
        <f t="shared" si="237"/>
        <v/>
      </c>
      <c r="DZ227" s="499" t="str">
        <f t="shared" si="237"/>
        <v/>
      </c>
      <c r="EA227" s="499" t="str">
        <f t="shared" ref="EA227:EI227" si="238">IF(EA167=1, EA$153/EA$156, "")</f>
        <v/>
      </c>
      <c r="EB227" s="499" t="str">
        <f t="shared" si="238"/>
        <v/>
      </c>
      <c r="EC227" s="499" t="str">
        <f t="shared" si="238"/>
        <v/>
      </c>
      <c r="ED227" s="499" t="str">
        <f t="shared" si="238"/>
        <v/>
      </c>
      <c r="EE227" s="499">
        <f t="shared" si="238"/>
        <v>3138840.7142857141</v>
      </c>
      <c r="EF227" s="499">
        <f t="shared" si="238"/>
        <v>740478.33333333337</v>
      </c>
      <c r="EG227" s="499">
        <f t="shared" si="238"/>
        <v>77450</v>
      </c>
      <c r="EH227" s="499">
        <f t="shared" si="238"/>
        <v>186292.5</v>
      </c>
      <c r="EI227" s="499">
        <f t="shared" si="238"/>
        <v>44272.727272727272</v>
      </c>
      <c r="EJ227" s="499">
        <f t="shared" si="198"/>
        <v>15846140.050626816</v>
      </c>
      <c r="EK227" s="67"/>
      <c r="EL227" s="67"/>
      <c r="EM227" s="67"/>
      <c r="EN227" s="67"/>
      <c r="EO227" s="67"/>
      <c r="EP227" s="67"/>
      <c r="EQ227" s="67"/>
      <c r="ER227" s="67"/>
      <c r="ES227" s="67"/>
      <c r="ET227" s="67"/>
      <c r="EU227" s="67"/>
      <c r="EV227" s="67"/>
      <c r="EW227" s="67"/>
      <c r="EX227" s="67"/>
      <c r="EY227" s="67"/>
      <c r="EZ227" s="67"/>
    </row>
    <row r="228" spans="1:156">
      <c r="B228" s="500" t="s">
        <v>89</v>
      </c>
      <c r="C228" s="499" t="str">
        <f t="shared" ref="C228:AH228" si="239">IF(C168=1, C$153/C$156, "")</f>
        <v/>
      </c>
      <c r="D228" s="499" t="str">
        <f t="shared" si="239"/>
        <v/>
      </c>
      <c r="E228" s="499" t="str">
        <f t="shared" si="239"/>
        <v/>
      </c>
      <c r="F228" s="499" t="str">
        <f t="shared" si="239"/>
        <v/>
      </c>
      <c r="G228" s="499">
        <f t="shared" si="239"/>
        <v>545468.5</v>
      </c>
      <c r="H228" s="499">
        <f t="shared" si="239"/>
        <v>17291.6875</v>
      </c>
      <c r="I228" s="499" t="str">
        <f t="shared" si="239"/>
        <v/>
      </c>
      <c r="J228" s="499" t="str">
        <f t="shared" si="239"/>
        <v/>
      </c>
      <c r="K228" s="499" t="str">
        <f t="shared" si="239"/>
        <v/>
      </c>
      <c r="L228" s="499" t="str">
        <f t="shared" si="239"/>
        <v/>
      </c>
      <c r="M228" s="499" t="str">
        <f t="shared" si="239"/>
        <v/>
      </c>
      <c r="N228" s="499" t="str">
        <f t="shared" si="239"/>
        <v/>
      </c>
      <c r="O228" s="499" t="str">
        <f t="shared" si="239"/>
        <v/>
      </c>
      <c r="P228" s="499" t="str">
        <f t="shared" si="239"/>
        <v/>
      </c>
      <c r="Q228" s="499" t="str">
        <f t="shared" si="239"/>
        <v/>
      </c>
      <c r="R228" s="499" t="str">
        <f t="shared" si="239"/>
        <v/>
      </c>
      <c r="S228" s="499">
        <f t="shared" si="239"/>
        <v>642948.00199999998</v>
      </c>
      <c r="T228" s="499" t="str">
        <f t="shared" si="239"/>
        <v/>
      </c>
      <c r="U228" s="499" t="str">
        <f t="shared" si="239"/>
        <v/>
      </c>
      <c r="V228" s="499" t="str">
        <f t="shared" si="239"/>
        <v/>
      </c>
      <c r="W228" s="499" t="str">
        <f t="shared" si="239"/>
        <v/>
      </c>
      <c r="X228" s="499">
        <f t="shared" si="239"/>
        <v>1972167.5</v>
      </c>
      <c r="Y228" s="499" t="str">
        <f t="shared" si="239"/>
        <v/>
      </c>
      <c r="Z228" s="499">
        <f t="shared" si="239"/>
        <v>3333.3333333333335</v>
      </c>
      <c r="AA228" s="499">
        <f t="shared" si="239"/>
        <v>678883.33333333337</v>
      </c>
      <c r="AB228" s="499" t="str">
        <f t="shared" si="239"/>
        <v/>
      </c>
      <c r="AC228" s="499" t="str">
        <f t="shared" si="239"/>
        <v/>
      </c>
      <c r="AD228" s="499" t="str">
        <f t="shared" si="239"/>
        <v/>
      </c>
      <c r="AE228" s="499" t="str">
        <f t="shared" si="239"/>
        <v/>
      </c>
      <c r="AF228" s="499" t="str">
        <f t="shared" si="239"/>
        <v/>
      </c>
      <c r="AG228" s="499" t="str">
        <f t="shared" si="239"/>
        <v/>
      </c>
      <c r="AH228" s="499">
        <f t="shared" si="239"/>
        <v>543855.19999999995</v>
      </c>
      <c r="AI228" s="499" t="str">
        <f t="shared" ref="AI228:BN228" si="240">IF(AI168=1, AI$153/AI$156, "")</f>
        <v/>
      </c>
      <c r="AJ228" s="499" t="str">
        <f t="shared" si="240"/>
        <v/>
      </c>
      <c r="AK228" s="499">
        <f t="shared" si="240"/>
        <v>438178.51400000008</v>
      </c>
      <c r="AL228" s="499" t="str">
        <f t="shared" si="240"/>
        <v/>
      </c>
      <c r="AM228" s="499">
        <f t="shared" si="240"/>
        <v>118941.33333333342</v>
      </c>
      <c r="AN228" s="499" t="str">
        <f t="shared" si="240"/>
        <v/>
      </c>
      <c r="AO228" s="499" t="str">
        <f t="shared" si="240"/>
        <v/>
      </c>
      <c r="AP228" s="499" t="str">
        <f t="shared" si="240"/>
        <v/>
      </c>
      <c r="AQ228" s="499" t="str">
        <f t="shared" si="240"/>
        <v/>
      </c>
      <c r="AR228" s="499" t="str">
        <f t="shared" si="240"/>
        <v/>
      </c>
      <c r="AS228" s="499">
        <f t="shared" si="240"/>
        <v>459.625</v>
      </c>
      <c r="AT228" s="499" t="str">
        <f t="shared" si="240"/>
        <v/>
      </c>
      <c r="AU228" s="499">
        <f t="shared" si="240"/>
        <v>8341.75</v>
      </c>
      <c r="AV228" s="499" t="str">
        <f t="shared" si="240"/>
        <v/>
      </c>
      <c r="AW228" s="499" t="str">
        <f t="shared" si="240"/>
        <v/>
      </c>
      <c r="AX228" s="499" t="str">
        <f t="shared" si="240"/>
        <v/>
      </c>
      <c r="AY228" s="499">
        <f t="shared" si="240"/>
        <v>203632.5625</v>
      </c>
      <c r="AZ228" s="499" t="str">
        <f t="shared" si="240"/>
        <v/>
      </c>
      <c r="BA228" s="499" t="str">
        <f t="shared" si="240"/>
        <v/>
      </c>
      <c r="BB228" s="499">
        <f t="shared" si="240"/>
        <v>28478.4375</v>
      </c>
      <c r="BC228" s="499">
        <f t="shared" si="240"/>
        <v>316637.30769230769</v>
      </c>
      <c r="BD228" s="499" t="str">
        <f t="shared" si="240"/>
        <v/>
      </c>
      <c r="BE228" s="499" t="str">
        <f t="shared" si="240"/>
        <v/>
      </c>
      <c r="BF228" s="499" t="str">
        <f t="shared" si="240"/>
        <v/>
      </c>
      <c r="BG228" s="499" t="str">
        <f t="shared" si="240"/>
        <v/>
      </c>
      <c r="BH228" s="499" t="str">
        <f t="shared" si="240"/>
        <v/>
      </c>
      <c r="BI228" s="499" t="str">
        <f t="shared" si="240"/>
        <v/>
      </c>
      <c r="BJ228" s="499" t="str">
        <f t="shared" si="240"/>
        <v/>
      </c>
      <c r="BK228" s="499" t="str">
        <f t="shared" si="240"/>
        <v/>
      </c>
      <c r="BL228" s="499" t="str">
        <f t="shared" si="240"/>
        <v/>
      </c>
      <c r="BM228" s="499" t="str">
        <f t="shared" si="240"/>
        <v/>
      </c>
      <c r="BN228" s="499">
        <f t="shared" si="240"/>
        <v>136400</v>
      </c>
      <c r="BO228" s="499" t="str">
        <f t="shared" ref="BO228:CT228" si="241">IF(BO168=1, BO$153/BO$156, "")</f>
        <v/>
      </c>
      <c r="BP228" s="499">
        <f t="shared" si="241"/>
        <v>972706.25</v>
      </c>
      <c r="BQ228" s="499" t="str">
        <f t="shared" si="241"/>
        <v/>
      </c>
      <c r="BR228" s="499" t="str">
        <f t="shared" si="241"/>
        <v/>
      </c>
      <c r="BS228" s="499" t="str">
        <f t="shared" si="241"/>
        <v/>
      </c>
      <c r="BT228" s="499" t="str">
        <f t="shared" si="241"/>
        <v/>
      </c>
      <c r="BU228" s="499">
        <f t="shared" si="241"/>
        <v>722526</v>
      </c>
      <c r="BV228" s="499" t="str">
        <f t="shared" si="241"/>
        <v/>
      </c>
      <c r="BW228" s="499" t="str">
        <f t="shared" si="241"/>
        <v/>
      </c>
      <c r="BX228" s="499" t="str">
        <f t="shared" si="241"/>
        <v/>
      </c>
      <c r="BY228" s="499" t="str">
        <f t="shared" si="241"/>
        <v/>
      </c>
      <c r="BZ228" s="499" t="str">
        <f t="shared" si="241"/>
        <v/>
      </c>
      <c r="CA228" s="499" t="str">
        <f t="shared" si="241"/>
        <v/>
      </c>
      <c r="CB228" s="499" t="str">
        <f t="shared" si="241"/>
        <v/>
      </c>
      <c r="CC228" s="499">
        <f t="shared" si="241"/>
        <v>4141.9333333333334</v>
      </c>
      <c r="CD228" s="499" t="str">
        <f t="shared" si="241"/>
        <v/>
      </c>
      <c r="CE228" s="499" t="str">
        <f t="shared" si="241"/>
        <v/>
      </c>
      <c r="CF228" s="499">
        <f t="shared" si="241"/>
        <v>2980.7142857142858</v>
      </c>
      <c r="CG228" s="499" t="str">
        <f t="shared" si="241"/>
        <v/>
      </c>
      <c r="CH228" s="499" t="str">
        <f t="shared" si="241"/>
        <v/>
      </c>
      <c r="CI228" s="499" t="str">
        <f t="shared" si="241"/>
        <v/>
      </c>
      <c r="CJ228" s="499" t="str">
        <f t="shared" si="241"/>
        <v/>
      </c>
      <c r="CK228" s="499" t="str">
        <f t="shared" si="241"/>
        <v/>
      </c>
      <c r="CL228" s="499" t="str">
        <f t="shared" si="241"/>
        <v/>
      </c>
      <c r="CM228" s="499" t="str">
        <f t="shared" si="241"/>
        <v/>
      </c>
      <c r="CN228" s="499" t="str">
        <f t="shared" si="241"/>
        <v/>
      </c>
      <c r="CO228" s="499">
        <f t="shared" si="241"/>
        <v>90416.666666666672</v>
      </c>
      <c r="CP228" s="499" t="str">
        <f t="shared" si="241"/>
        <v/>
      </c>
      <c r="CQ228" s="499" t="str">
        <f t="shared" si="241"/>
        <v/>
      </c>
      <c r="CR228" s="499" t="str">
        <f t="shared" si="241"/>
        <v/>
      </c>
      <c r="CS228" s="499" t="str">
        <f t="shared" si="241"/>
        <v/>
      </c>
      <c r="CT228" s="499" t="str">
        <f t="shared" si="241"/>
        <v/>
      </c>
      <c r="CU228" s="499" t="str">
        <f t="shared" ref="CU228:DZ228" si="242">IF(CU168=1, CU$153/CU$156, "")</f>
        <v/>
      </c>
      <c r="CV228" s="499" t="str">
        <f t="shared" si="242"/>
        <v/>
      </c>
      <c r="CW228" s="499">
        <f t="shared" si="242"/>
        <v>580269.25</v>
      </c>
      <c r="CX228" s="499">
        <f t="shared" si="242"/>
        <v>67498.438000000009</v>
      </c>
      <c r="CY228" s="499" t="str">
        <f t="shared" si="242"/>
        <v/>
      </c>
      <c r="CZ228" s="499" t="str">
        <f t="shared" si="242"/>
        <v/>
      </c>
      <c r="DA228" s="499" t="str">
        <f t="shared" si="242"/>
        <v/>
      </c>
      <c r="DB228" s="499">
        <f t="shared" si="242"/>
        <v>1991.6666666666667</v>
      </c>
      <c r="DC228" s="499">
        <f t="shared" si="242"/>
        <v>275823.3125</v>
      </c>
      <c r="DD228" s="499" t="str">
        <f t="shared" si="242"/>
        <v/>
      </c>
      <c r="DE228" s="499">
        <f t="shared" si="242"/>
        <v>570383.32615384622</v>
      </c>
      <c r="DF228" s="499" t="str">
        <f t="shared" si="242"/>
        <v/>
      </c>
      <c r="DG228" s="499" t="str">
        <f t="shared" si="242"/>
        <v/>
      </c>
      <c r="DH228" s="499" t="str">
        <f t="shared" si="242"/>
        <v/>
      </c>
      <c r="DI228" s="499">
        <f t="shared" si="242"/>
        <v>105657.93399999998</v>
      </c>
      <c r="DJ228" s="499" t="str">
        <f t="shared" si="242"/>
        <v/>
      </c>
      <c r="DK228" s="499">
        <f t="shared" si="242"/>
        <v>375</v>
      </c>
      <c r="DL228" s="499" t="str">
        <f t="shared" si="242"/>
        <v/>
      </c>
      <c r="DM228" s="499" t="str">
        <f t="shared" si="242"/>
        <v/>
      </c>
      <c r="DN228" s="499" t="str">
        <f t="shared" si="242"/>
        <v/>
      </c>
      <c r="DO228" s="499" t="str">
        <f t="shared" si="242"/>
        <v/>
      </c>
      <c r="DP228" s="499" t="str">
        <f t="shared" si="242"/>
        <v/>
      </c>
      <c r="DQ228" s="499" t="str">
        <f t="shared" si="242"/>
        <v/>
      </c>
      <c r="DR228" s="499" t="str">
        <f t="shared" si="242"/>
        <v/>
      </c>
      <c r="DS228" s="499" t="str">
        <f t="shared" si="242"/>
        <v/>
      </c>
      <c r="DT228" s="499">
        <f t="shared" si="242"/>
        <v>142538</v>
      </c>
      <c r="DU228" s="499" t="str">
        <f t="shared" si="242"/>
        <v/>
      </c>
      <c r="DV228" s="499" t="str">
        <f t="shared" si="242"/>
        <v/>
      </c>
      <c r="DW228" s="499" t="str">
        <f t="shared" si="242"/>
        <v/>
      </c>
      <c r="DX228" s="499" t="str">
        <f t="shared" si="242"/>
        <v/>
      </c>
      <c r="DY228" s="499" t="str">
        <f t="shared" si="242"/>
        <v/>
      </c>
      <c r="DZ228" s="499" t="str">
        <f t="shared" si="242"/>
        <v/>
      </c>
      <c r="EA228" s="499" t="str">
        <f t="shared" ref="EA228:EI228" si="243">IF(EA168=1, EA$153/EA$156, "")</f>
        <v/>
      </c>
      <c r="EB228" s="499" t="str">
        <f t="shared" si="243"/>
        <v/>
      </c>
      <c r="EC228" s="499" t="str">
        <f t="shared" si="243"/>
        <v/>
      </c>
      <c r="ED228" s="499" t="str">
        <f t="shared" si="243"/>
        <v/>
      </c>
      <c r="EE228" s="499">
        <f t="shared" si="243"/>
        <v>3138840.7142857141</v>
      </c>
      <c r="EF228" s="499" t="str">
        <f t="shared" si="243"/>
        <v/>
      </c>
      <c r="EG228" s="499">
        <f t="shared" si="243"/>
        <v>77450</v>
      </c>
      <c r="EH228" s="499">
        <f t="shared" si="243"/>
        <v>186292.5</v>
      </c>
      <c r="EI228" s="499">
        <f t="shared" si="243"/>
        <v>44272.727272727272</v>
      </c>
      <c r="EJ228" s="499">
        <f t="shared" si="198"/>
        <v>12639181.519356977</v>
      </c>
      <c r="EK228" s="67"/>
      <c r="EL228" s="67"/>
      <c r="EM228" s="67"/>
      <c r="EN228" s="67"/>
      <c r="EO228" s="67"/>
      <c r="EP228" s="67"/>
      <c r="EQ228" s="67"/>
      <c r="ER228" s="67"/>
      <c r="ES228" s="67"/>
      <c r="ET228" s="67"/>
      <c r="EU228" s="67"/>
      <c r="EV228" s="67"/>
      <c r="EW228" s="67"/>
      <c r="EX228" s="67"/>
      <c r="EY228" s="67"/>
      <c r="EZ228" s="67"/>
    </row>
    <row r="229" spans="1:156">
      <c r="B229" s="500" t="s">
        <v>91</v>
      </c>
      <c r="C229" s="499" t="str">
        <f t="shared" ref="C229:AH229" si="244">IF(C169=1, C$153/C$156, "")</f>
        <v/>
      </c>
      <c r="D229" s="499" t="str">
        <f t="shared" si="244"/>
        <v/>
      </c>
      <c r="E229" s="499" t="str">
        <f t="shared" si="244"/>
        <v/>
      </c>
      <c r="F229" s="499" t="str">
        <f t="shared" si="244"/>
        <v/>
      </c>
      <c r="G229" s="499" t="str">
        <f t="shared" si="244"/>
        <v/>
      </c>
      <c r="H229" s="499">
        <f t="shared" si="244"/>
        <v>17291.6875</v>
      </c>
      <c r="I229" s="499" t="str">
        <f t="shared" si="244"/>
        <v/>
      </c>
      <c r="J229" s="499" t="str">
        <f t="shared" si="244"/>
        <v/>
      </c>
      <c r="K229" s="499" t="str">
        <f t="shared" si="244"/>
        <v/>
      </c>
      <c r="L229" s="499" t="str">
        <f t="shared" si="244"/>
        <v/>
      </c>
      <c r="M229" s="499" t="str">
        <f t="shared" si="244"/>
        <v/>
      </c>
      <c r="N229" s="499">
        <f t="shared" si="244"/>
        <v>1216666.6666666667</v>
      </c>
      <c r="O229" s="499" t="str">
        <f t="shared" si="244"/>
        <v/>
      </c>
      <c r="P229" s="499" t="str">
        <f t="shared" si="244"/>
        <v/>
      </c>
      <c r="Q229" s="499" t="str">
        <f t="shared" si="244"/>
        <v/>
      </c>
      <c r="R229" s="499" t="str">
        <f t="shared" si="244"/>
        <v/>
      </c>
      <c r="S229" s="499">
        <f t="shared" si="244"/>
        <v>642948.00199999998</v>
      </c>
      <c r="T229" s="499" t="str">
        <f t="shared" si="244"/>
        <v/>
      </c>
      <c r="U229" s="499" t="str">
        <f t="shared" si="244"/>
        <v/>
      </c>
      <c r="V229" s="499" t="str">
        <f t="shared" si="244"/>
        <v/>
      </c>
      <c r="W229" s="499" t="str">
        <f t="shared" si="244"/>
        <v/>
      </c>
      <c r="X229" s="499">
        <f t="shared" si="244"/>
        <v>1972167.5</v>
      </c>
      <c r="Y229" s="499" t="str">
        <f t="shared" si="244"/>
        <v/>
      </c>
      <c r="Z229" s="499">
        <f t="shared" si="244"/>
        <v>3333.3333333333335</v>
      </c>
      <c r="AA229" s="499">
        <f t="shared" si="244"/>
        <v>678883.33333333337</v>
      </c>
      <c r="AB229" s="499" t="str">
        <f t="shared" si="244"/>
        <v/>
      </c>
      <c r="AC229" s="499" t="str">
        <f t="shared" si="244"/>
        <v/>
      </c>
      <c r="AD229" s="499" t="str">
        <f t="shared" si="244"/>
        <v/>
      </c>
      <c r="AE229" s="499" t="str">
        <f t="shared" si="244"/>
        <v/>
      </c>
      <c r="AF229" s="499" t="str">
        <f t="shared" si="244"/>
        <v/>
      </c>
      <c r="AG229" s="499" t="str">
        <f t="shared" si="244"/>
        <v/>
      </c>
      <c r="AH229" s="499">
        <f t="shared" si="244"/>
        <v>543855.19999999995</v>
      </c>
      <c r="AI229" s="499" t="str">
        <f t="shared" ref="AI229:BN229" si="245">IF(AI169=1, AI$153/AI$156, "")</f>
        <v/>
      </c>
      <c r="AJ229" s="499" t="str">
        <f t="shared" si="245"/>
        <v/>
      </c>
      <c r="AK229" s="499">
        <f t="shared" si="245"/>
        <v>438178.51400000008</v>
      </c>
      <c r="AL229" s="499" t="str">
        <f t="shared" si="245"/>
        <v/>
      </c>
      <c r="AM229" s="499">
        <f t="shared" si="245"/>
        <v>118941.33333333342</v>
      </c>
      <c r="AN229" s="499" t="str">
        <f t="shared" si="245"/>
        <v/>
      </c>
      <c r="AO229" s="499" t="str">
        <f t="shared" si="245"/>
        <v/>
      </c>
      <c r="AP229" s="499" t="str">
        <f t="shared" si="245"/>
        <v/>
      </c>
      <c r="AQ229" s="499" t="str">
        <f t="shared" si="245"/>
        <v/>
      </c>
      <c r="AR229" s="499" t="str">
        <f t="shared" si="245"/>
        <v/>
      </c>
      <c r="AS229" s="499">
        <f t="shared" si="245"/>
        <v>459.625</v>
      </c>
      <c r="AT229" s="499" t="str">
        <f t="shared" si="245"/>
        <v/>
      </c>
      <c r="AU229" s="499">
        <f t="shared" si="245"/>
        <v>8341.75</v>
      </c>
      <c r="AV229" s="499" t="str">
        <f t="shared" si="245"/>
        <v/>
      </c>
      <c r="AW229" s="499" t="str">
        <f t="shared" si="245"/>
        <v/>
      </c>
      <c r="AX229" s="499" t="str">
        <f t="shared" si="245"/>
        <v/>
      </c>
      <c r="AY229" s="499">
        <f t="shared" si="245"/>
        <v>203632.5625</v>
      </c>
      <c r="AZ229" s="499" t="str">
        <f t="shared" si="245"/>
        <v/>
      </c>
      <c r="BA229" s="499">
        <f t="shared" si="245"/>
        <v>5607.1428571428569</v>
      </c>
      <c r="BB229" s="499">
        <f t="shared" si="245"/>
        <v>28478.4375</v>
      </c>
      <c r="BC229" s="499">
        <f t="shared" si="245"/>
        <v>316637.30769230769</v>
      </c>
      <c r="BD229" s="499">
        <f t="shared" si="245"/>
        <v>258987.85714285713</v>
      </c>
      <c r="BE229" s="499" t="str">
        <f t="shared" si="245"/>
        <v/>
      </c>
      <c r="BF229" s="499" t="str">
        <f t="shared" si="245"/>
        <v/>
      </c>
      <c r="BG229" s="499" t="str">
        <f t="shared" si="245"/>
        <v/>
      </c>
      <c r="BH229" s="499" t="str">
        <f t="shared" si="245"/>
        <v/>
      </c>
      <c r="BI229" s="499" t="str">
        <f t="shared" si="245"/>
        <v/>
      </c>
      <c r="BJ229" s="499" t="str">
        <f t="shared" si="245"/>
        <v/>
      </c>
      <c r="BK229" s="499" t="str">
        <f t="shared" si="245"/>
        <v/>
      </c>
      <c r="BL229" s="499" t="str">
        <f t="shared" si="245"/>
        <v/>
      </c>
      <c r="BM229" s="499" t="str">
        <f t="shared" si="245"/>
        <v/>
      </c>
      <c r="BN229" s="499">
        <f t="shared" si="245"/>
        <v>136400</v>
      </c>
      <c r="BO229" s="499" t="str">
        <f t="shared" ref="BO229:CT229" si="246">IF(BO169=1, BO$153/BO$156, "")</f>
        <v/>
      </c>
      <c r="BP229" s="499">
        <f t="shared" si="246"/>
        <v>972706.25</v>
      </c>
      <c r="BQ229" s="499" t="str">
        <f t="shared" si="246"/>
        <v/>
      </c>
      <c r="BR229" s="499" t="str">
        <f t="shared" si="246"/>
        <v/>
      </c>
      <c r="BS229" s="499" t="str">
        <f t="shared" si="246"/>
        <v/>
      </c>
      <c r="BT229" s="499" t="str">
        <f t="shared" si="246"/>
        <v/>
      </c>
      <c r="BU229" s="499">
        <f t="shared" si="246"/>
        <v>722526</v>
      </c>
      <c r="BV229" s="499" t="str">
        <f t="shared" si="246"/>
        <v/>
      </c>
      <c r="BW229" s="499" t="str">
        <f t="shared" si="246"/>
        <v/>
      </c>
      <c r="BX229" s="499" t="str">
        <f t="shared" si="246"/>
        <v/>
      </c>
      <c r="BY229" s="499" t="str">
        <f t="shared" si="246"/>
        <v/>
      </c>
      <c r="BZ229" s="499" t="str">
        <f t="shared" si="246"/>
        <v/>
      </c>
      <c r="CA229" s="499" t="str">
        <f t="shared" si="246"/>
        <v/>
      </c>
      <c r="CB229" s="499" t="str">
        <f t="shared" si="246"/>
        <v/>
      </c>
      <c r="CC229" s="499">
        <f t="shared" si="246"/>
        <v>4141.9333333333334</v>
      </c>
      <c r="CD229" s="499" t="str">
        <f t="shared" si="246"/>
        <v/>
      </c>
      <c r="CE229" s="499" t="str">
        <f t="shared" si="246"/>
        <v/>
      </c>
      <c r="CF229" s="499">
        <f t="shared" si="246"/>
        <v>2980.7142857142858</v>
      </c>
      <c r="CG229" s="499">
        <f t="shared" si="246"/>
        <v>1448134</v>
      </c>
      <c r="CH229" s="499" t="str">
        <f t="shared" si="246"/>
        <v/>
      </c>
      <c r="CI229" s="499">
        <f t="shared" si="246"/>
        <v>30000</v>
      </c>
      <c r="CJ229" s="499" t="str">
        <f t="shared" si="246"/>
        <v/>
      </c>
      <c r="CK229" s="499">
        <f t="shared" si="246"/>
        <v>433107.22222222225</v>
      </c>
      <c r="CL229" s="499" t="str">
        <f t="shared" si="246"/>
        <v/>
      </c>
      <c r="CM229" s="499" t="str">
        <f t="shared" si="246"/>
        <v/>
      </c>
      <c r="CN229" s="499" t="str">
        <f t="shared" si="246"/>
        <v/>
      </c>
      <c r="CO229" s="499">
        <f t="shared" si="246"/>
        <v>90416.666666666672</v>
      </c>
      <c r="CP229" s="499" t="str">
        <f t="shared" si="246"/>
        <v/>
      </c>
      <c r="CQ229" s="499" t="str">
        <f t="shared" si="246"/>
        <v/>
      </c>
      <c r="CR229" s="499" t="str">
        <f t="shared" si="246"/>
        <v/>
      </c>
      <c r="CS229" s="499" t="str">
        <f t="shared" si="246"/>
        <v/>
      </c>
      <c r="CT229" s="499" t="str">
        <f t="shared" si="246"/>
        <v/>
      </c>
      <c r="CU229" s="499" t="str">
        <f t="shared" ref="CU229:DZ229" si="247">IF(CU169=1, CU$153/CU$156, "")</f>
        <v/>
      </c>
      <c r="CV229" s="499" t="str">
        <f t="shared" si="247"/>
        <v/>
      </c>
      <c r="CW229" s="499">
        <f t="shared" si="247"/>
        <v>580269.25</v>
      </c>
      <c r="CX229" s="499">
        <f t="shared" si="247"/>
        <v>67498.438000000009</v>
      </c>
      <c r="CY229" s="499" t="str">
        <f t="shared" si="247"/>
        <v/>
      </c>
      <c r="CZ229" s="499" t="str">
        <f t="shared" si="247"/>
        <v/>
      </c>
      <c r="DA229" s="499" t="str">
        <f t="shared" si="247"/>
        <v/>
      </c>
      <c r="DB229" s="499">
        <f t="shared" si="247"/>
        <v>1991.6666666666667</v>
      </c>
      <c r="DC229" s="499">
        <f t="shared" si="247"/>
        <v>275823.3125</v>
      </c>
      <c r="DD229" s="499" t="str">
        <f t="shared" si="247"/>
        <v/>
      </c>
      <c r="DE229" s="499">
        <f t="shared" si="247"/>
        <v>570383.32615384622</v>
      </c>
      <c r="DF229" s="499">
        <f t="shared" si="247"/>
        <v>66452</v>
      </c>
      <c r="DG229" s="499" t="str">
        <f t="shared" si="247"/>
        <v/>
      </c>
      <c r="DH229" s="499" t="str">
        <f t="shared" si="247"/>
        <v/>
      </c>
      <c r="DI229" s="499">
        <f t="shared" si="247"/>
        <v>105657.93399999998</v>
      </c>
      <c r="DJ229" s="499" t="str">
        <f t="shared" si="247"/>
        <v/>
      </c>
      <c r="DK229" s="499">
        <f t="shared" si="247"/>
        <v>375</v>
      </c>
      <c r="DL229" s="499" t="str">
        <f t="shared" si="247"/>
        <v/>
      </c>
      <c r="DM229" s="499" t="str">
        <f t="shared" si="247"/>
        <v/>
      </c>
      <c r="DN229" s="499" t="str">
        <f t="shared" si="247"/>
        <v/>
      </c>
      <c r="DO229" s="499" t="str">
        <f t="shared" si="247"/>
        <v/>
      </c>
      <c r="DP229" s="499" t="str">
        <f t="shared" si="247"/>
        <v/>
      </c>
      <c r="DQ229" s="499" t="str">
        <f t="shared" si="247"/>
        <v/>
      </c>
      <c r="DR229" s="499" t="str">
        <f t="shared" si="247"/>
        <v/>
      </c>
      <c r="DS229" s="499" t="str">
        <f t="shared" si="247"/>
        <v/>
      </c>
      <c r="DT229" s="499">
        <f t="shared" si="247"/>
        <v>142538</v>
      </c>
      <c r="DU229" s="499" t="str">
        <f t="shared" si="247"/>
        <v/>
      </c>
      <c r="DV229" s="499" t="str">
        <f t="shared" si="247"/>
        <v/>
      </c>
      <c r="DW229" s="499">
        <f t="shared" si="247"/>
        <v>17617323.25</v>
      </c>
      <c r="DX229" s="499" t="str">
        <f t="shared" si="247"/>
        <v/>
      </c>
      <c r="DY229" s="499" t="str">
        <f t="shared" si="247"/>
        <v/>
      </c>
      <c r="DZ229" s="499" t="str">
        <f t="shared" si="247"/>
        <v/>
      </c>
      <c r="EA229" s="499" t="str">
        <f t="shared" ref="EA229:EI229" si="248">IF(EA169=1, EA$153/EA$156, "")</f>
        <v/>
      </c>
      <c r="EB229" s="499" t="str">
        <f t="shared" si="248"/>
        <v/>
      </c>
      <c r="EC229" s="499" t="str">
        <f t="shared" si="248"/>
        <v/>
      </c>
      <c r="ED229" s="499" t="str">
        <f t="shared" si="248"/>
        <v/>
      </c>
      <c r="EE229" s="499">
        <f t="shared" si="248"/>
        <v>3138840.7142857141</v>
      </c>
      <c r="EF229" s="499" t="str">
        <f t="shared" si="248"/>
        <v/>
      </c>
      <c r="EG229" s="499">
        <f t="shared" si="248"/>
        <v>77450</v>
      </c>
      <c r="EH229" s="499">
        <f t="shared" si="248"/>
        <v>186292.5</v>
      </c>
      <c r="EI229" s="499">
        <f t="shared" si="248"/>
        <v>44272.727272727272</v>
      </c>
      <c r="EJ229" s="499">
        <f t="shared" si="198"/>
        <v>33169991.158245865</v>
      </c>
      <c r="EK229" s="67"/>
      <c r="EL229" s="67"/>
      <c r="EM229" s="67"/>
      <c r="EN229" s="67"/>
      <c r="EO229" s="67"/>
      <c r="EP229" s="67"/>
      <c r="EQ229" s="67"/>
      <c r="ER229" s="67"/>
      <c r="ES229" s="67"/>
      <c r="ET229" s="67"/>
      <c r="EU229" s="67"/>
      <c r="EV229" s="67"/>
      <c r="EW229" s="67"/>
      <c r="EX229" s="67"/>
      <c r="EY229" s="67"/>
      <c r="EZ229" s="67"/>
    </row>
    <row r="230" spans="1:156">
      <c r="B230" s="500" t="s">
        <v>100</v>
      </c>
      <c r="C230" s="499" t="str">
        <f t="shared" ref="C230:AH230" si="249">IF(C170=1, C$153/C$156, "")</f>
        <v/>
      </c>
      <c r="D230" s="499" t="str">
        <f t="shared" si="249"/>
        <v/>
      </c>
      <c r="E230" s="499" t="str">
        <f t="shared" si="249"/>
        <v/>
      </c>
      <c r="F230" s="499" t="str">
        <f t="shared" si="249"/>
        <v/>
      </c>
      <c r="G230" s="499" t="str">
        <f t="shared" si="249"/>
        <v/>
      </c>
      <c r="H230" s="499">
        <f t="shared" si="249"/>
        <v>17291.6875</v>
      </c>
      <c r="I230" s="499" t="str">
        <f t="shared" si="249"/>
        <v/>
      </c>
      <c r="J230" s="499" t="str">
        <f t="shared" si="249"/>
        <v/>
      </c>
      <c r="K230" s="499" t="str">
        <f t="shared" si="249"/>
        <v/>
      </c>
      <c r="L230" s="499" t="str">
        <f t="shared" si="249"/>
        <v/>
      </c>
      <c r="M230" s="499" t="str">
        <f t="shared" si="249"/>
        <v/>
      </c>
      <c r="N230" s="499" t="str">
        <f t="shared" si="249"/>
        <v/>
      </c>
      <c r="O230" s="499" t="str">
        <f t="shared" si="249"/>
        <v/>
      </c>
      <c r="P230" s="499" t="str">
        <f t="shared" si="249"/>
        <v/>
      </c>
      <c r="Q230" s="499" t="str">
        <f t="shared" si="249"/>
        <v/>
      </c>
      <c r="R230" s="499" t="str">
        <f t="shared" si="249"/>
        <v/>
      </c>
      <c r="S230" s="499">
        <f t="shared" si="249"/>
        <v>642948.00199999998</v>
      </c>
      <c r="T230" s="499" t="str">
        <f t="shared" si="249"/>
        <v/>
      </c>
      <c r="U230" s="499">
        <f t="shared" si="249"/>
        <v>340000</v>
      </c>
      <c r="V230" s="499" t="str">
        <f t="shared" si="249"/>
        <v/>
      </c>
      <c r="W230" s="499" t="str">
        <f t="shared" si="249"/>
        <v/>
      </c>
      <c r="X230" s="499">
        <f t="shared" si="249"/>
        <v>1972167.5</v>
      </c>
      <c r="Y230" s="499" t="str">
        <f t="shared" si="249"/>
        <v/>
      </c>
      <c r="Z230" s="499">
        <f t="shared" si="249"/>
        <v>3333.3333333333335</v>
      </c>
      <c r="AA230" s="499" t="str">
        <f t="shared" si="249"/>
        <v/>
      </c>
      <c r="AB230" s="499" t="str">
        <f t="shared" si="249"/>
        <v/>
      </c>
      <c r="AC230" s="499" t="str">
        <f t="shared" si="249"/>
        <v/>
      </c>
      <c r="AD230" s="499">
        <f t="shared" si="249"/>
        <v>1027990</v>
      </c>
      <c r="AE230" s="499" t="str">
        <f t="shared" si="249"/>
        <v/>
      </c>
      <c r="AF230" s="499" t="str">
        <f t="shared" si="249"/>
        <v/>
      </c>
      <c r="AG230" s="499">
        <f t="shared" si="249"/>
        <v>606194.5</v>
      </c>
      <c r="AH230" s="499">
        <f t="shared" si="249"/>
        <v>543855.19999999995</v>
      </c>
      <c r="AI230" s="499">
        <f t="shared" ref="AI230:BN230" si="250">IF(AI170=1, AI$153/AI$156, "")</f>
        <v>2842438.5</v>
      </c>
      <c r="AJ230" s="499" t="str">
        <f t="shared" si="250"/>
        <v/>
      </c>
      <c r="AK230" s="499">
        <f t="shared" si="250"/>
        <v>438178.51400000008</v>
      </c>
      <c r="AL230" s="499" t="str">
        <f t="shared" si="250"/>
        <v/>
      </c>
      <c r="AM230" s="499">
        <f t="shared" si="250"/>
        <v>118941.33333333342</v>
      </c>
      <c r="AN230" s="499" t="str">
        <f t="shared" si="250"/>
        <v/>
      </c>
      <c r="AO230" s="499" t="str">
        <f t="shared" si="250"/>
        <v/>
      </c>
      <c r="AP230" s="499" t="str">
        <f t="shared" si="250"/>
        <v/>
      </c>
      <c r="AQ230" s="499" t="str">
        <f t="shared" si="250"/>
        <v/>
      </c>
      <c r="AR230" s="499" t="str">
        <f t="shared" si="250"/>
        <v/>
      </c>
      <c r="AS230" s="499">
        <f t="shared" si="250"/>
        <v>459.625</v>
      </c>
      <c r="AT230" s="499" t="str">
        <f t="shared" si="250"/>
        <v/>
      </c>
      <c r="AU230" s="499">
        <f t="shared" si="250"/>
        <v>8341.75</v>
      </c>
      <c r="AV230" s="499">
        <f t="shared" si="250"/>
        <v>373.5</v>
      </c>
      <c r="AW230" s="499">
        <f t="shared" si="250"/>
        <v>2102.5</v>
      </c>
      <c r="AX230" s="499" t="str">
        <f t="shared" si="250"/>
        <v/>
      </c>
      <c r="AY230" s="499">
        <f t="shared" si="250"/>
        <v>203632.5625</v>
      </c>
      <c r="AZ230" s="499">
        <f t="shared" si="250"/>
        <v>70459</v>
      </c>
      <c r="BA230" s="499">
        <f t="shared" si="250"/>
        <v>5607.1428571428569</v>
      </c>
      <c r="BB230" s="499">
        <f t="shared" si="250"/>
        <v>28478.4375</v>
      </c>
      <c r="BC230" s="499">
        <f t="shared" si="250"/>
        <v>316637.30769230769</v>
      </c>
      <c r="BD230" s="499">
        <f t="shared" si="250"/>
        <v>258987.85714285713</v>
      </c>
      <c r="BE230" s="499">
        <f t="shared" si="250"/>
        <v>8400</v>
      </c>
      <c r="BF230" s="499">
        <f t="shared" si="250"/>
        <v>115000</v>
      </c>
      <c r="BG230" s="499">
        <f t="shared" si="250"/>
        <v>657125</v>
      </c>
      <c r="BH230" s="499" t="str">
        <f t="shared" si="250"/>
        <v/>
      </c>
      <c r="BI230" s="499" t="str">
        <f t="shared" si="250"/>
        <v/>
      </c>
      <c r="BJ230" s="499" t="str">
        <f t="shared" si="250"/>
        <v/>
      </c>
      <c r="BK230" s="499" t="str">
        <f t="shared" si="250"/>
        <v/>
      </c>
      <c r="BL230" s="499" t="str">
        <f t="shared" si="250"/>
        <v/>
      </c>
      <c r="BM230" s="499" t="str">
        <f t="shared" si="250"/>
        <v/>
      </c>
      <c r="BN230" s="499">
        <f t="shared" si="250"/>
        <v>136400</v>
      </c>
      <c r="BO230" s="499" t="str">
        <f t="shared" ref="BO230:CT230" si="251">IF(BO170=1, BO$153/BO$156, "")</f>
        <v/>
      </c>
      <c r="BP230" s="499">
        <f t="shared" si="251"/>
        <v>972706.25</v>
      </c>
      <c r="BQ230" s="499" t="str">
        <f t="shared" si="251"/>
        <v/>
      </c>
      <c r="BR230" s="499" t="str">
        <f t="shared" si="251"/>
        <v/>
      </c>
      <c r="BS230" s="499" t="str">
        <f t="shared" si="251"/>
        <v/>
      </c>
      <c r="BT230" s="499" t="str">
        <f t="shared" si="251"/>
        <v/>
      </c>
      <c r="BU230" s="499">
        <f t="shared" si="251"/>
        <v>722526</v>
      </c>
      <c r="BV230" s="499" t="str">
        <f t="shared" si="251"/>
        <v/>
      </c>
      <c r="BW230" s="499" t="str">
        <f t="shared" si="251"/>
        <v/>
      </c>
      <c r="BX230" s="499" t="str">
        <f t="shared" si="251"/>
        <v/>
      </c>
      <c r="BY230" s="499" t="str">
        <f t="shared" si="251"/>
        <v/>
      </c>
      <c r="BZ230" s="499" t="str">
        <f t="shared" si="251"/>
        <v/>
      </c>
      <c r="CA230" s="499" t="str">
        <f t="shared" si="251"/>
        <v/>
      </c>
      <c r="CB230" s="499" t="str">
        <f t="shared" si="251"/>
        <v/>
      </c>
      <c r="CC230" s="499">
        <f t="shared" si="251"/>
        <v>4141.9333333333334</v>
      </c>
      <c r="CD230" s="499" t="str">
        <f t="shared" si="251"/>
        <v/>
      </c>
      <c r="CE230" s="499" t="str">
        <f t="shared" si="251"/>
        <v/>
      </c>
      <c r="CF230" s="499">
        <f t="shared" si="251"/>
        <v>2980.7142857142858</v>
      </c>
      <c r="CG230" s="499">
        <f t="shared" si="251"/>
        <v>1448134</v>
      </c>
      <c r="CH230" s="499" t="str">
        <f t="shared" si="251"/>
        <v/>
      </c>
      <c r="CI230" s="499">
        <f t="shared" si="251"/>
        <v>30000</v>
      </c>
      <c r="CJ230" s="499" t="str">
        <f t="shared" si="251"/>
        <v/>
      </c>
      <c r="CK230" s="499">
        <f t="shared" si="251"/>
        <v>433107.22222222225</v>
      </c>
      <c r="CL230" s="499" t="str">
        <f t="shared" si="251"/>
        <v/>
      </c>
      <c r="CM230" s="499" t="str">
        <f t="shared" si="251"/>
        <v/>
      </c>
      <c r="CN230" s="499">
        <f t="shared" si="251"/>
        <v>1139875</v>
      </c>
      <c r="CO230" s="499">
        <f t="shared" si="251"/>
        <v>90416.666666666672</v>
      </c>
      <c r="CP230" s="499" t="str">
        <f t="shared" si="251"/>
        <v/>
      </c>
      <c r="CQ230" s="499" t="str">
        <f t="shared" si="251"/>
        <v/>
      </c>
      <c r="CR230" s="499" t="str">
        <f t="shared" si="251"/>
        <v/>
      </c>
      <c r="CS230" s="499" t="str">
        <f t="shared" si="251"/>
        <v/>
      </c>
      <c r="CT230" s="499" t="str">
        <f t="shared" si="251"/>
        <v/>
      </c>
      <c r="CU230" s="499" t="str">
        <f t="shared" ref="CU230:DZ230" si="252">IF(CU170=1, CU$153/CU$156, "")</f>
        <v/>
      </c>
      <c r="CV230" s="499" t="str">
        <f t="shared" si="252"/>
        <v/>
      </c>
      <c r="CW230" s="499">
        <f t="shared" si="252"/>
        <v>580269.25</v>
      </c>
      <c r="CX230" s="499">
        <f t="shared" si="252"/>
        <v>67498.438000000009</v>
      </c>
      <c r="CY230" s="499" t="str">
        <f t="shared" si="252"/>
        <v/>
      </c>
      <c r="CZ230" s="499" t="str">
        <f t="shared" si="252"/>
        <v/>
      </c>
      <c r="DA230" s="499" t="str">
        <f t="shared" si="252"/>
        <v/>
      </c>
      <c r="DB230" s="499">
        <f t="shared" si="252"/>
        <v>1991.6666666666667</v>
      </c>
      <c r="DC230" s="499">
        <f t="shared" si="252"/>
        <v>275823.3125</v>
      </c>
      <c r="DD230" s="499" t="str">
        <f t="shared" si="252"/>
        <v/>
      </c>
      <c r="DE230" s="499">
        <f t="shared" si="252"/>
        <v>570383.32615384622</v>
      </c>
      <c r="DF230" s="499" t="str">
        <f t="shared" si="252"/>
        <v/>
      </c>
      <c r="DG230" s="499" t="str">
        <f t="shared" si="252"/>
        <v/>
      </c>
      <c r="DH230" s="499" t="str">
        <f t="shared" si="252"/>
        <v/>
      </c>
      <c r="DI230" s="499">
        <f t="shared" si="252"/>
        <v>105657.93399999998</v>
      </c>
      <c r="DJ230" s="499" t="str">
        <f t="shared" si="252"/>
        <v/>
      </c>
      <c r="DK230" s="499">
        <f t="shared" si="252"/>
        <v>375</v>
      </c>
      <c r="DL230" s="499" t="str">
        <f t="shared" si="252"/>
        <v/>
      </c>
      <c r="DM230" s="499" t="str">
        <f t="shared" si="252"/>
        <v/>
      </c>
      <c r="DN230" s="499" t="str">
        <f t="shared" si="252"/>
        <v/>
      </c>
      <c r="DO230" s="499" t="str">
        <f t="shared" si="252"/>
        <v/>
      </c>
      <c r="DP230" s="499" t="str">
        <f t="shared" si="252"/>
        <v/>
      </c>
      <c r="DQ230" s="499" t="str">
        <f t="shared" si="252"/>
        <v/>
      </c>
      <c r="DR230" s="499" t="str">
        <f t="shared" si="252"/>
        <v/>
      </c>
      <c r="DS230" s="499" t="str">
        <f t="shared" si="252"/>
        <v/>
      </c>
      <c r="DT230" s="499">
        <f t="shared" si="252"/>
        <v>142538</v>
      </c>
      <c r="DU230" s="499" t="str">
        <f t="shared" si="252"/>
        <v/>
      </c>
      <c r="DV230" s="499" t="str">
        <f t="shared" si="252"/>
        <v/>
      </c>
      <c r="DW230" s="499">
        <f t="shared" si="252"/>
        <v>17617323.25</v>
      </c>
      <c r="DX230" s="499" t="str">
        <f t="shared" si="252"/>
        <v/>
      </c>
      <c r="DY230" s="499" t="str">
        <f t="shared" si="252"/>
        <v/>
      </c>
      <c r="DZ230" s="499">
        <f t="shared" si="252"/>
        <v>656866.5</v>
      </c>
      <c r="EA230" s="499" t="str">
        <f t="shared" ref="EA230:EI230" si="253">IF(EA170=1, EA$153/EA$156, "")</f>
        <v/>
      </c>
      <c r="EB230" s="499" t="str">
        <f t="shared" si="253"/>
        <v/>
      </c>
      <c r="EC230" s="499" t="str">
        <f t="shared" si="253"/>
        <v/>
      </c>
      <c r="ED230" s="499" t="str">
        <f t="shared" si="253"/>
        <v/>
      </c>
      <c r="EE230" s="499">
        <f t="shared" si="253"/>
        <v>3138840.7142857141</v>
      </c>
      <c r="EF230" s="499" t="str">
        <f t="shared" si="253"/>
        <v/>
      </c>
      <c r="EG230" s="499">
        <f t="shared" si="253"/>
        <v>77450</v>
      </c>
      <c r="EH230" s="499">
        <f t="shared" si="253"/>
        <v>186292.5</v>
      </c>
      <c r="EI230" s="499">
        <f t="shared" si="253"/>
        <v>44272.727272727272</v>
      </c>
      <c r="EJ230" s="499">
        <f t="shared" si="198"/>
        <v>38674813.658245869</v>
      </c>
      <c r="EK230" s="67"/>
      <c r="EL230" s="67"/>
      <c r="EM230" s="67"/>
      <c r="EN230" s="67"/>
      <c r="EO230" s="67"/>
      <c r="EP230" s="67"/>
      <c r="EQ230" s="67"/>
      <c r="ER230" s="67"/>
      <c r="ES230" s="67"/>
      <c r="ET230" s="67"/>
      <c r="EU230" s="67"/>
      <c r="EV230" s="67"/>
      <c r="EW230" s="67"/>
      <c r="EX230" s="67"/>
      <c r="EY230" s="67"/>
      <c r="EZ230" s="67"/>
    </row>
    <row r="231" spans="1:156">
      <c r="B231" s="500" t="s">
        <v>101</v>
      </c>
      <c r="C231" s="499" t="str">
        <f t="shared" ref="C231:AH231" si="254">IF(C171=1, C$153/C$156, "")</f>
        <v/>
      </c>
      <c r="D231" s="499" t="str">
        <f t="shared" si="254"/>
        <v/>
      </c>
      <c r="E231" s="499" t="str">
        <f t="shared" si="254"/>
        <v/>
      </c>
      <c r="F231" s="499" t="str">
        <f t="shared" si="254"/>
        <v/>
      </c>
      <c r="G231" s="499" t="str">
        <f t="shared" si="254"/>
        <v/>
      </c>
      <c r="H231" s="499">
        <f t="shared" si="254"/>
        <v>17291.6875</v>
      </c>
      <c r="I231" s="499" t="str">
        <f t="shared" si="254"/>
        <v/>
      </c>
      <c r="J231" s="499" t="str">
        <f t="shared" si="254"/>
        <v/>
      </c>
      <c r="K231" s="499" t="str">
        <f t="shared" si="254"/>
        <v/>
      </c>
      <c r="L231" s="499" t="str">
        <f t="shared" si="254"/>
        <v/>
      </c>
      <c r="M231" s="499" t="str">
        <f t="shared" si="254"/>
        <v/>
      </c>
      <c r="N231" s="499" t="str">
        <f t="shared" si="254"/>
        <v/>
      </c>
      <c r="O231" s="499" t="str">
        <f t="shared" si="254"/>
        <v/>
      </c>
      <c r="P231" s="499" t="str">
        <f t="shared" si="254"/>
        <v/>
      </c>
      <c r="Q231" s="499" t="str">
        <f t="shared" si="254"/>
        <v/>
      </c>
      <c r="R231" s="499" t="str">
        <f t="shared" si="254"/>
        <v/>
      </c>
      <c r="S231" s="499">
        <f t="shared" si="254"/>
        <v>642948.00199999998</v>
      </c>
      <c r="T231" s="499" t="str">
        <f t="shared" si="254"/>
        <v/>
      </c>
      <c r="U231" s="499">
        <f t="shared" si="254"/>
        <v>340000</v>
      </c>
      <c r="V231" s="499" t="str">
        <f t="shared" si="254"/>
        <v/>
      </c>
      <c r="W231" s="499" t="str">
        <f t="shared" si="254"/>
        <v/>
      </c>
      <c r="X231" s="499">
        <f t="shared" si="254"/>
        <v>1972167.5</v>
      </c>
      <c r="Y231" s="499" t="str">
        <f t="shared" si="254"/>
        <v/>
      </c>
      <c r="Z231" s="499">
        <f t="shared" si="254"/>
        <v>3333.3333333333335</v>
      </c>
      <c r="AA231" s="499" t="str">
        <f t="shared" si="254"/>
        <v/>
      </c>
      <c r="AB231" s="499" t="str">
        <f t="shared" si="254"/>
        <v/>
      </c>
      <c r="AC231" s="499" t="str">
        <f t="shared" si="254"/>
        <v/>
      </c>
      <c r="AD231" s="499">
        <f t="shared" si="254"/>
        <v>1027990</v>
      </c>
      <c r="AE231" s="499" t="str">
        <f t="shared" si="254"/>
        <v/>
      </c>
      <c r="AF231" s="499" t="str">
        <f t="shared" si="254"/>
        <v/>
      </c>
      <c r="AG231" s="499">
        <f t="shared" si="254"/>
        <v>606194.5</v>
      </c>
      <c r="AH231" s="499">
        <f t="shared" si="254"/>
        <v>543855.19999999995</v>
      </c>
      <c r="AI231" s="499">
        <f t="shared" ref="AI231:BN231" si="255">IF(AI171=1, AI$153/AI$156, "")</f>
        <v>2842438.5</v>
      </c>
      <c r="AJ231" s="499" t="str">
        <f t="shared" si="255"/>
        <v/>
      </c>
      <c r="AK231" s="499">
        <f t="shared" si="255"/>
        <v>438178.51400000008</v>
      </c>
      <c r="AL231" s="499" t="str">
        <f t="shared" si="255"/>
        <v/>
      </c>
      <c r="AM231" s="499">
        <f t="shared" si="255"/>
        <v>118941.33333333342</v>
      </c>
      <c r="AN231" s="499" t="str">
        <f t="shared" si="255"/>
        <v/>
      </c>
      <c r="AO231" s="499" t="str">
        <f t="shared" si="255"/>
        <v/>
      </c>
      <c r="AP231" s="499" t="str">
        <f t="shared" si="255"/>
        <v/>
      </c>
      <c r="AQ231" s="499" t="str">
        <f t="shared" si="255"/>
        <v/>
      </c>
      <c r="AR231" s="499" t="str">
        <f t="shared" si="255"/>
        <v/>
      </c>
      <c r="AS231" s="499" t="str">
        <f t="shared" si="255"/>
        <v/>
      </c>
      <c r="AT231" s="499">
        <f t="shared" si="255"/>
        <v>3115</v>
      </c>
      <c r="AU231" s="499" t="str">
        <f t="shared" si="255"/>
        <v/>
      </c>
      <c r="AV231" s="499" t="str">
        <f t="shared" si="255"/>
        <v/>
      </c>
      <c r="AW231" s="499" t="str">
        <f t="shared" si="255"/>
        <v/>
      </c>
      <c r="AX231" s="499" t="str">
        <f t="shared" si="255"/>
        <v/>
      </c>
      <c r="AY231" s="499">
        <f t="shared" si="255"/>
        <v>203632.5625</v>
      </c>
      <c r="AZ231" s="499" t="str">
        <f t="shared" si="255"/>
        <v/>
      </c>
      <c r="BA231" s="499">
        <f t="shared" si="255"/>
        <v>5607.1428571428569</v>
      </c>
      <c r="BB231" s="499">
        <f t="shared" si="255"/>
        <v>28478.4375</v>
      </c>
      <c r="BC231" s="499">
        <f t="shared" si="255"/>
        <v>316637.30769230769</v>
      </c>
      <c r="BD231" s="499">
        <f t="shared" si="255"/>
        <v>258987.85714285713</v>
      </c>
      <c r="BE231" s="499" t="str">
        <f t="shared" si="255"/>
        <v/>
      </c>
      <c r="BF231" s="499" t="str">
        <f t="shared" si="255"/>
        <v/>
      </c>
      <c r="BG231" s="499" t="str">
        <f t="shared" si="255"/>
        <v/>
      </c>
      <c r="BH231" s="499" t="str">
        <f t="shared" si="255"/>
        <v/>
      </c>
      <c r="BI231" s="499" t="str">
        <f t="shared" si="255"/>
        <v/>
      </c>
      <c r="BJ231" s="499" t="str">
        <f t="shared" si="255"/>
        <v/>
      </c>
      <c r="BK231" s="499" t="str">
        <f t="shared" si="255"/>
        <v/>
      </c>
      <c r="BL231" s="499">
        <f t="shared" si="255"/>
        <v>909167</v>
      </c>
      <c r="BM231" s="499" t="str">
        <f t="shared" si="255"/>
        <v/>
      </c>
      <c r="BN231" s="499">
        <f t="shared" si="255"/>
        <v>136400</v>
      </c>
      <c r="BO231" s="499">
        <f t="shared" ref="BO231:CT231" si="256">IF(BO171=1, BO$153/BO$156, "")</f>
        <v>7186470</v>
      </c>
      <c r="BP231" s="499">
        <f t="shared" si="256"/>
        <v>972706.25</v>
      </c>
      <c r="BQ231" s="499" t="str">
        <f t="shared" si="256"/>
        <v/>
      </c>
      <c r="BR231" s="499" t="str">
        <f t="shared" si="256"/>
        <v/>
      </c>
      <c r="BS231" s="499" t="str">
        <f t="shared" si="256"/>
        <v/>
      </c>
      <c r="BT231" s="499" t="str">
        <f t="shared" si="256"/>
        <v/>
      </c>
      <c r="BU231" s="499">
        <f t="shared" si="256"/>
        <v>722526</v>
      </c>
      <c r="BV231" s="499" t="str">
        <f t="shared" si="256"/>
        <v/>
      </c>
      <c r="BW231" s="499">
        <f t="shared" si="256"/>
        <v>675600</v>
      </c>
      <c r="BX231" s="499">
        <f t="shared" si="256"/>
        <v>2175464</v>
      </c>
      <c r="BY231" s="499" t="str">
        <f t="shared" si="256"/>
        <v/>
      </c>
      <c r="BZ231" s="499" t="str">
        <f t="shared" si="256"/>
        <v/>
      </c>
      <c r="CA231" s="499" t="str">
        <f t="shared" si="256"/>
        <v/>
      </c>
      <c r="CB231" s="499" t="str">
        <f t="shared" si="256"/>
        <v/>
      </c>
      <c r="CC231" s="499">
        <f t="shared" si="256"/>
        <v>4141.9333333333334</v>
      </c>
      <c r="CD231" s="499" t="str">
        <f t="shared" si="256"/>
        <v/>
      </c>
      <c r="CE231" s="499">
        <f t="shared" si="256"/>
        <v>714350</v>
      </c>
      <c r="CF231" s="499">
        <f t="shared" si="256"/>
        <v>2980.7142857142858</v>
      </c>
      <c r="CG231" s="499">
        <f t="shared" si="256"/>
        <v>1448134</v>
      </c>
      <c r="CH231" s="499" t="str">
        <f t="shared" si="256"/>
        <v/>
      </c>
      <c r="CI231" s="499" t="str">
        <f t="shared" si="256"/>
        <v/>
      </c>
      <c r="CJ231" s="499" t="str">
        <f t="shared" si="256"/>
        <v/>
      </c>
      <c r="CK231" s="499">
        <f t="shared" si="256"/>
        <v>433107.22222222225</v>
      </c>
      <c r="CL231" s="499" t="str">
        <f t="shared" si="256"/>
        <v/>
      </c>
      <c r="CM231" s="499" t="str">
        <f t="shared" si="256"/>
        <v/>
      </c>
      <c r="CN231" s="499">
        <f t="shared" si="256"/>
        <v>1139875</v>
      </c>
      <c r="CO231" s="499">
        <f t="shared" si="256"/>
        <v>90416.666666666672</v>
      </c>
      <c r="CP231" s="499" t="str">
        <f t="shared" si="256"/>
        <v/>
      </c>
      <c r="CQ231" s="499" t="str">
        <f t="shared" si="256"/>
        <v/>
      </c>
      <c r="CR231" s="499" t="str">
        <f t="shared" si="256"/>
        <v/>
      </c>
      <c r="CS231" s="499" t="str">
        <f t="shared" si="256"/>
        <v/>
      </c>
      <c r="CT231" s="499" t="str">
        <f t="shared" si="256"/>
        <v/>
      </c>
      <c r="CU231" s="499" t="str">
        <f t="shared" ref="CU231:DZ231" si="257">IF(CU171=1, CU$153/CU$156, "")</f>
        <v/>
      </c>
      <c r="CV231" s="499">
        <f t="shared" si="257"/>
        <v>7821</v>
      </c>
      <c r="CW231" s="499">
        <f t="shared" si="257"/>
        <v>580269.25</v>
      </c>
      <c r="CX231" s="499" t="str">
        <f t="shared" si="257"/>
        <v/>
      </c>
      <c r="CY231" s="499" t="str">
        <f t="shared" si="257"/>
        <v/>
      </c>
      <c r="CZ231" s="499" t="str">
        <f t="shared" si="257"/>
        <v/>
      </c>
      <c r="DA231" s="499" t="str">
        <f t="shared" si="257"/>
        <v/>
      </c>
      <c r="DB231" s="499">
        <f t="shared" si="257"/>
        <v>1991.6666666666667</v>
      </c>
      <c r="DC231" s="499">
        <f t="shared" si="257"/>
        <v>275823.3125</v>
      </c>
      <c r="DD231" s="499" t="str">
        <f t="shared" si="257"/>
        <v/>
      </c>
      <c r="DE231" s="499">
        <f t="shared" si="257"/>
        <v>570383.32615384622</v>
      </c>
      <c r="DF231" s="499" t="str">
        <f t="shared" si="257"/>
        <v/>
      </c>
      <c r="DG231" s="499" t="str">
        <f t="shared" si="257"/>
        <v/>
      </c>
      <c r="DH231" s="499" t="str">
        <f t="shared" si="257"/>
        <v/>
      </c>
      <c r="DI231" s="499">
        <f t="shared" si="257"/>
        <v>105657.93399999998</v>
      </c>
      <c r="DJ231" s="499" t="str">
        <f t="shared" si="257"/>
        <v/>
      </c>
      <c r="DK231" s="499">
        <f t="shared" si="257"/>
        <v>375</v>
      </c>
      <c r="DL231" s="499" t="str">
        <f t="shared" si="257"/>
        <v/>
      </c>
      <c r="DM231" s="499" t="str">
        <f t="shared" si="257"/>
        <v/>
      </c>
      <c r="DN231" s="499" t="str">
        <f t="shared" si="257"/>
        <v/>
      </c>
      <c r="DO231" s="499" t="str">
        <f t="shared" si="257"/>
        <v/>
      </c>
      <c r="DP231" s="499" t="str">
        <f t="shared" si="257"/>
        <v/>
      </c>
      <c r="DQ231" s="499" t="str">
        <f t="shared" si="257"/>
        <v/>
      </c>
      <c r="DR231" s="499" t="str">
        <f t="shared" si="257"/>
        <v/>
      </c>
      <c r="DS231" s="499" t="str">
        <f t="shared" si="257"/>
        <v/>
      </c>
      <c r="DT231" s="499">
        <f t="shared" si="257"/>
        <v>142538</v>
      </c>
      <c r="DU231" s="499" t="str">
        <f t="shared" si="257"/>
        <v/>
      </c>
      <c r="DV231" s="499" t="str">
        <f t="shared" si="257"/>
        <v/>
      </c>
      <c r="DW231" s="499">
        <f t="shared" si="257"/>
        <v>17617323.25</v>
      </c>
      <c r="DX231" s="499" t="str">
        <f t="shared" si="257"/>
        <v/>
      </c>
      <c r="DY231" s="499">
        <f t="shared" si="257"/>
        <v>250000</v>
      </c>
      <c r="DZ231" s="499">
        <f t="shared" si="257"/>
        <v>656866.5</v>
      </c>
      <c r="EA231" s="499" t="str">
        <f t="shared" ref="EA231:EI231" si="258">IF(EA171=1, EA$153/EA$156, "")</f>
        <v/>
      </c>
      <c r="EB231" s="499" t="str">
        <f t="shared" si="258"/>
        <v/>
      </c>
      <c r="EC231" s="499" t="str">
        <f t="shared" si="258"/>
        <v/>
      </c>
      <c r="ED231" s="499" t="str">
        <f t="shared" si="258"/>
        <v/>
      </c>
      <c r="EE231" s="499">
        <f t="shared" si="258"/>
        <v>3138840.7142857141</v>
      </c>
      <c r="EF231" s="499" t="str">
        <f t="shared" si="258"/>
        <v/>
      </c>
      <c r="EG231" s="499">
        <f t="shared" si="258"/>
        <v>77450</v>
      </c>
      <c r="EH231" s="499">
        <f t="shared" si="258"/>
        <v>186292.5</v>
      </c>
      <c r="EI231" s="499">
        <f t="shared" si="258"/>
        <v>44272.727272727272</v>
      </c>
      <c r="EJ231" s="499">
        <f t="shared" si="198"/>
        <v>49637040.845245868</v>
      </c>
      <c r="EK231" s="67"/>
      <c r="EL231" s="67"/>
      <c r="EM231" s="67"/>
      <c r="EN231" s="67"/>
      <c r="EO231" s="67"/>
      <c r="EP231" s="67"/>
      <c r="EQ231" s="67"/>
      <c r="ER231" s="67"/>
      <c r="ES231" s="67"/>
      <c r="ET231" s="67"/>
      <c r="EU231" s="67"/>
      <c r="EV231" s="67"/>
      <c r="EW231" s="67"/>
      <c r="EX231" s="67"/>
      <c r="EY231" s="67"/>
      <c r="EZ231" s="67"/>
    </row>
    <row r="232" spans="1:156">
      <c r="B232" s="500" t="s">
        <v>90</v>
      </c>
      <c r="C232" s="499" t="str">
        <f t="shared" ref="C232:AH232" si="259">IF(C172=1, C$153/C$156, "")</f>
        <v/>
      </c>
      <c r="D232" s="499" t="str">
        <f t="shared" si="259"/>
        <v/>
      </c>
      <c r="E232" s="499" t="str">
        <f t="shared" si="259"/>
        <v/>
      </c>
      <c r="F232" s="499" t="str">
        <f t="shared" si="259"/>
        <v/>
      </c>
      <c r="G232" s="499" t="str">
        <f t="shared" si="259"/>
        <v/>
      </c>
      <c r="H232" s="499">
        <f t="shared" si="259"/>
        <v>17291.6875</v>
      </c>
      <c r="I232" s="499" t="str">
        <f t="shared" si="259"/>
        <v/>
      </c>
      <c r="J232" s="499" t="str">
        <f t="shared" si="259"/>
        <v/>
      </c>
      <c r="K232" s="499" t="str">
        <f t="shared" si="259"/>
        <v/>
      </c>
      <c r="L232" s="499" t="str">
        <f t="shared" si="259"/>
        <v/>
      </c>
      <c r="M232" s="499" t="str">
        <f t="shared" si="259"/>
        <v/>
      </c>
      <c r="N232" s="499" t="str">
        <f t="shared" si="259"/>
        <v/>
      </c>
      <c r="O232" s="499" t="str">
        <f t="shared" si="259"/>
        <v/>
      </c>
      <c r="P232" s="499" t="str">
        <f t="shared" si="259"/>
        <v/>
      </c>
      <c r="Q232" s="499" t="str">
        <f t="shared" si="259"/>
        <v/>
      </c>
      <c r="R232" s="499" t="str">
        <f t="shared" si="259"/>
        <v/>
      </c>
      <c r="S232" s="499">
        <f t="shared" si="259"/>
        <v>642948.00199999998</v>
      </c>
      <c r="T232" s="499" t="str">
        <f t="shared" si="259"/>
        <v/>
      </c>
      <c r="U232" s="499" t="str">
        <f t="shared" si="259"/>
        <v/>
      </c>
      <c r="V232" s="499" t="str">
        <f t="shared" si="259"/>
        <v/>
      </c>
      <c r="W232" s="499" t="str">
        <f t="shared" si="259"/>
        <v/>
      </c>
      <c r="X232" s="499">
        <f t="shared" si="259"/>
        <v>1972167.5</v>
      </c>
      <c r="Y232" s="499" t="str">
        <f t="shared" si="259"/>
        <v/>
      </c>
      <c r="Z232" s="499">
        <f t="shared" si="259"/>
        <v>3333.3333333333335</v>
      </c>
      <c r="AA232" s="499">
        <f t="shared" si="259"/>
        <v>678883.33333333337</v>
      </c>
      <c r="AB232" s="499" t="str">
        <f t="shared" si="259"/>
        <v/>
      </c>
      <c r="AC232" s="499" t="str">
        <f t="shared" si="259"/>
        <v/>
      </c>
      <c r="AD232" s="499" t="str">
        <f t="shared" si="259"/>
        <v/>
      </c>
      <c r="AE232" s="499" t="str">
        <f t="shared" si="259"/>
        <v/>
      </c>
      <c r="AF232" s="499" t="str">
        <f t="shared" si="259"/>
        <v/>
      </c>
      <c r="AG232" s="499" t="str">
        <f t="shared" si="259"/>
        <v/>
      </c>
      <c r="AH232" s="499">
        <f t="shared" si="259"/>
        <v>543855.19999999995</v>
      </c>
      <c r="AI232" s="499" t="str">
        <f t="shared" ref="AI232:BN232" si="260">IF(AI172=1, AI$153/AI$156, "")</f>
        <v/>
      </c>
      <c r="AJ232" s="499" t="str">
        <f t="shared" si="260"/>
        <v/>
      </c>
      <c r="AK232" s="499">
        <f t="shared" si="260"/>
        <v>438178.51400000008</v>
      </c>
      <c r="AL232" s="499" t="str">
        <f t="shared" si="260"/>
        <v/>
      </c>
      <c r="AM232" s="499">
        <f t="shared" si="260"/>
        <v>118941.33333333342</v>
      </c>
      <c r="AN232" s="499" t="str">
        <f t="shared" si="260"/>
        <v/>
      </c>
      <c r="AO232" s="499" t="str">
        <f t="shared" si="260"/>
        <v/>
      </c>
      <c r="AP232" s="499" t="str">
        <f t="shared" si="260"/>
        <v/>
      </c>
      <c r="AQ232" s="499" t="str">
        <f t="shared" si="260"/>
        <v/>
      </c>
      <c r="AR232" s="499">
        <f t="shared" si="260"/>
        <v>138333.33333333334</v>
      </c>
      <c r="AS232" s="499" t="str">
        <f t="shared" si="260"/>
        <v/>
      </c>
      <c r="AT232" s="499" t="str">
        <f t="shared" si="260"/>
        <v/>
      </c>
      <c r="AU232" s="499" t="str">
        <f t="shared" si="260"/>
        <v/>
      </c>
      <c r="AV232" s="499">
        <f t="shared" si="260"/>
        <v>373.5</v>
      </c>
      <c r="AW232" s="499" t="str">
        <f t="shared" si="260"/>
        <v/>
      </c>
      <c r="AX232" s="499">
        <f t="shared" si="260"/>
        <v>18534.400000000001</v>
      </c>
      <c r="AY232" s="499">
        <f t="shared" si="260"/>
        <v>203632.5625</v>
      </c>
      <c r="AZ232" s="499">
        <f t="shared" si="260"/>
        <v>70459</v>
      </c>
      <c r="BA232" s="499">
        <f t="shared" si="260"/>
        <v>5607.1428571428569</v>
      </c>
      <c r="BB232" s="499">
        <f t="shared" si="260"/>
        <v>28478.4375</v>
      </c>
      <c r="BC232" s="499">
        <f t="shared" si="260"/>
        <v>316637.30769230769</v>
      </c>
      <c r="BD232" s="499" t="str">
        <f t="shared" si="260"/>
        <v/>
      </c>
      <c r="BE232" s="499" t="str">
        <f t="shared" si="260"/>
        <v/>
      </c>
      <c r="BF232" s="499" t="str">
        <f t="shared" si="260"/>
        <v/>
      </c>
      <c r="BG232" s="499" t="str">
        <f t="shared" si="260"/>
        <v/>
      </c>
      <c r="BH232" s="499" t="str">
        <f t="shared" si="260"/>
        <v/>
      </c>
      <c r="BI232" s="499" t="str">
        <f t="shared" si="260"/>
        <v/>
      </c>
      <c r="BJ232" s="499" t="str">
        <f t="shared" si="260"/>
        <v/>
      </c>
      <c r="BK232" s="499" t="str">
        <f t="shared" si="260"/>
        <v/>
      </c>
      <c r="BL232" s="499" t="str">
        <f t="shared" si="260"/>
        <v/>
      </c>
      <c r="BM232" s="499" t="str">
        <f t="shared" si="260"/>
        <v/>
      </c>
      <c r="BN232" s="499">
        <f t="shared" si="260"/>
        <v>136400</v>
      </c>
      <c r="BO232" s="499" t="str">
        <f t="shared" ref="BO232:CT232" si="261">IF(BO172=1, BO$153/BO$156, "")</f>
        <v/>
      </c>
      <c r="BP232" s="499">
        <f t="shared" si="261"/>
        <v>972706.25</v>
      </c>
      <c r="BQ232" s="499" t="str">
        <f t="shared" si="261"/>
        <v/>
      </c>
      <c r="BR232" s="499" t="str">
        <f t="shared" si="261"/>
        <v/>
      </c>
      <c r="BS232" s="499" t="str">
        <f t="shared" si="261"/>
        <v/>
      </c>
      <c r="BT232" s="499" t="str">
        <f t="shared" si="261"/>
        <v/>
      </c>
      <c r="BU232" s="499">
        <f t="shared" si="261"/>
        <v>722526</v>
      </c>
      <c r="BV232" s="499" t="str">
        <f t="shared" si="261"/>
        <v/>
      </c>
      <c r="BW232" s="499" t="str">
        <f t="shared" si="261"/>
        <v/>
      </c>
      <c r="BX232" s="499" t="str">
        <f t="shared" si="261"/>
        <v/>
      </c>
      <c r="BY232" s="499" t="str">
        <f t="shared" si="261"/>
        <v/>
      </c>
      <c r="BZ232" s="499" t="str">
        <f t="shared" si="261"/>
        <v/>
      </c>
      <c r="CA232" s="499" t="str">
        <f t="shared" si="261"/>
        <v/>
      </c>
      <c r="CB232" s="499" t="str">
        <f t="shared" si="261"/>
        <v/>
      </c>
      <c r="CC232" s="499">
        <f t="shared" si="261"/>
        <v>4141.9333333333334</v>
      </c>
      <c r="CD232" s="499" t="str">
        <f t="shared" si="261"/>
        <v/>
      </c>
      <c r="CE232" s="499" t="str">
        <f t="shared" si="261"/>
        <v/>
      </c>
      <c r="CF232" s="499">
        <f t="shared" si="261"/>
        <v>2980.7142857142858</v>
      </c>
      <c r="CG232" s="499" t="str">
        <f t="shared" si="261"/>
        <v/>
      </c>
      <c r="CH232" s="499" t="str">
        <f t="shared" si="261"/>
        <v/>
      </c>
      <c r="CI232" s="499" t="str">
        <f t="shared" si="261"/>
        <v/>
      </c>
      <c r="CJ232" s="499" t="str">
        <f t="shared" si="261"/>
        <v/>
      </c>
      <c r="CK232" s="499">
        <f t="shared" si="261"/>
        <v>433107.22222222225</v>
      </c>
      <c r="CL232" s="499" t="str">
        <f t="shared" si="261"/>
        <v/>
      </c>
      <c r="CM232" s="499" t="str">
        <f t="shared" si="261"/>
        <v/>
      </c>
      <c r="CN232" s="499" t="str">
        <f t="shared" si="261"/>
        <v/>
      </c>
      <c r="CO232" s="499">
        <f t="shared" si="261"/>
        <v>90416.666666666672</v>
      </c>
      <c r="CP232" s="499" t="str">
        <f t="shared" si="261"/>
        <v/>
      </c>
      <c r="CQ232" s="499" t="str">
        <f t="shared" si="261"/>
        <v/>
      </c>
      <c r="CR232" s="499" t="str">
        <f t="shared" si="261"/>
        <v/>
      </c>
      <c r="CS232" s="499" t="str">
        <f t="shared" si="261"/>
        <v/>
      </c>
      <c r="CT232" s="499" t="str">
        <f t="shared" si="261"/>
        <v/>
      </c>
      <c r="CU232" s="499" t="str">
        <f t="shared" ref="CU232:DZ232" si="262">IF(CU172=1, CU$153/CU$156, "")</f>
        <v/>
      </c>
      <c r="CV232" s="499" t="str">
        <f t="shared" si="262"/>
        <v/>
      </c>
      <c r="CW232" s="499">
        <f t="shared" si="262"/>
        <v>580269.25</v>
      </c>
      <c r="CX232" s="499" t="str">
        <f t="shared" si="262"/>
        <v/>
      </c>
      <c r="CY232" s="499" t="str">
        <f t="shared" si="262"/>
        <v/>
      </c>
      <c r="CZ232" s="499" t="str">
        <f t="shared" si="262"/>
        <v/>
      </c>
      <c r="DA232" s="499" t="str">
        <f t="shared" si="262"/>
        <v/>
      </c>
      <c r="DB232" s="499">
        <f t="shared" si="262"/>
        <v>1991.6666666666667</v>
      </c>
      <c r="DC232" s="499">
        <f t="shared" si="262"/>
        <v>275823.3125</v>
      </c>
      <c r="DD232" s="499" t="str">
        <f t="shared" si="262"/>
        <v/>
      </c>
      <c r="DE232" s="499">
        <f t="shared" si="262"/>
        <v>570383.32615384622</v>
      </c>
      <c r="DF232" s="499" t="str">
        <f t="shared" si="262"/>
        <v/>
      </c>
      <c r="DG232" s="499">
        <f t="shared" si="262"/>
        <v>746651.66666666663</v>
      </c>
      <c r="DH232" s="499" t="str">
        <f t="shared" si="262"/>
        <v/>
      </c>
      <c r="DI232" s="499">
        <f t="shared" si="262"/>
        <v>105657.93399999998</v>
      </c>
      <c r="DJ232" s="499" t="str">
        <f t="shared" si="262"/>
        <v/>
      </c>
      <c r="DK232" s="499">
        <f t="shared" si="262"/>
        <v>375</v>
      </c>
      <c r="DL232" s="499" t="str">
        <f t="shared" si="262"/>
        <v/>
      </c>
      <c r="DM232" s="499" t="str">
        <f t="shared" si="262"/>
        <v/>
      </c>
      <c r="DN232" s="499" t="str">
        <f t="shared" si="262"/>
        <v/>
      </c>
      <c r="DO232" s="499" t="str">
        <f t="shared" si="262"/>
        <v/>
      </c>
      <c r="DP232" s="499" t="str">
        <f t="shared" si="262"/>
        <v/>
      </c>
      <c r="DQ232" s="499" t="str">
        <f t="shared" si="262"/>
        <v/>
      </c>
      <c r="DR232" s="499" t="str">
        <f t="shared" si="262"/>
        <v/>
      </c>
      <c r="DS232" s="499" t="str">
        <f t="shared" si="262"/>
        <v/>
      </c>
      <c r="DT232" s="499">
        <f t="shared" si="262"/>
        <v>142538</v>
      </c>
      <c r="DU232" s="499" t="str">
        <f t="shared" si="262"/>
        <v/>
      </c>
      <c r="DV232" s="499" t="str">
        <f t="shared" si="262"/>
        <v/>
      </c>
      <c r="DW232" s="499">
        <f t="shared" si="262"/>
        <v>17617323.25</v>
      </c>
      <c r="DX232" s="499" t="str">
        <f t="shared" si="262"/>
        <v/>
      </c>
      <c r="DY232" s="499" t="str">
        <f t="shared" si="262"/>
        <v/>
      </c>
      <c r="DZ232" s="499" t="str">
        <f t="shared" si="262"/>
        <v/>
      </c>
      <c r="EA232" s="499" t="str">
        <f t="shared" ref="EA232:EI232" si="263">IF(EA172=1, EA$153/EA$156, "")</f>
        <v/>
      </c>
      <c r="EB232" s="499" t="str">
        <f t="shared" si="263"/>
        <v/>
      </c>
      <c r="EC232" s="499" t="str">
        <f t="shared" si="263"/>
        <v/>
      </c>
      <c r="ED232" s="499" t="str">
        <f t="shared" si="263"/>
        <v/>
      </c>
      <c r="EE232" s="499">
        <f t="shared" si="263"/>
        <v>3138840.7142857141</v>
      </c>
      <c r="EF232" s="499" t="str">
        <f t="shared" si="263"/>
        <v/>
      </c>
      <c r="EG232" s="499">
        <f t="shared" si="263"/>
        <v>77450</v>
      </c>
      <c r="EH232" s="499">
        <f t="shared" si="263"/>
        <v>186292.5</v>
      </c>
      <c r="EI232" s="499">
        <f t="shared" si="263"/>
        <v>44272.727272727272</v>
      </c>
      <c r="EJ232" s="499">
        <f t="shared" si="198"/>
        <v>31047802.72143634</v>
      </c>
      <c r="EK232" s="67"/>
      <c r="EL232" s="67"/>
      <c r="EM232" s="67"/>
      <c r="EN232" s="67"/>
      <c r="EO232" s="67"/>
      <c r="EP232" s="67"/>
      <c r="EQ232" s="67"/>
      <c r="ER232" s="67"/>
      <c r="ES232" s="67"/>
      <c r="ET232" s="67"/>
      <c r="EU232" s="67"/>
      <c r="EV232" s="67"/>
      <c r="EW232" s="67"/>
      <c r="EX232" s="67"/>
      <c r="EY232" s="67"/>
      <c r="EZ232" s="67"/>
    </row>
    <row r="233" spans="1:156">
      <c r="B233" s="500" t="s">
        <v>137</v>
      </c>
      <c r="C233" s="499" t="str">
        <f t="shared" ref="C233:AH233" si="264">IF(C173=1, C$153/C$156, "")</f>
        <v/>
      </c>
      <c r="D233" s="499">
        <f t="shared" si="264"/>
        <v>1361409</v>
      </c>
      <c r="E233" s="499">
        <f t="shared" si="264"/>
        <v>243125</v>
      </c>
      <c r="F233" s="499">
        <f t="shared" si="264"/>
        <v>822.66666666666663</v>
      </c>
      <c r="G233" s="499" t="str">
        <f t="shared" si="264"/>
        <v/>
      </c>
      <c r="H233" s="499">
        <f t="shared" si="264"/>
        <v>17291.6875</v>
      </c>
      <c r="I233" s="499">
        <f t="shared" si="264"/>
        <v>53537.666666666664</v>
      </c>
      <c r="J233" s="499">
        <f t="shared" si="264"/>
        <v>68873.333333333328</v>
      </c>
      <c r="K233" s="499" t="str">
        <f t="shared" si="264"/>
        <v/>
      </c>
      <c r="L233" s="499" t="str">
        <f t="shared" si="264"/>
        <v/>
      </c>
      <c r="M233" s="499">
        <f t="shared" si="264"/>
        <v>461298.15</v>
      </c>
      <c r="N233" s="499" t="str">
        <f t="shared" si="264"/>
        <v/>
      </c>
      <c r="O233" s="499" t="str">
        <f t="shared" si="264"/>
        <v/>
      </c>
      <c r="P233" s="499" t="str">
        <f t="shared" si="264"/>
        <v/>
      </c>
      <c r="Q233" s="499" t="str">
        <f t="shared" si="264"/>
        <v/>
      </c>
      <c r="R233" s="499" t="str">
        <f t="shared" si="264"/>
        <v/>
      </c>
      <c r="S233" s="499" t="str">
        <f t="shared" si="264"/>
        <v/>
      </c>
      <c r="T233" s="499" t="str">
        <f t="shared" si="264"/>
        <v/>
      </c>
      <c r="U233" s="499" t="str">
        <f t="shared" si="264"/>
        <v/>
      </c>
      <c r="V233" s="499" t="str">
        <f t="shared" si="264"/>
        <v/>
      </c>
      <c r="W233" s="499" t="str">
        <f t="shared" si="264"/>
        <v/>
      </c>
      <c r="X233" s="499">
        <f t="shared" si="264"/>
        <v>1972167.5</v>
      </c>
      <c r="Y233" s="499">
        <f t="shared" si="264"/>
        <v>9889.6666666666661</v>
      </c>
      <c r="Z233" s="499" t="str">
        <f t="shared" si="264"/>
        <v/>
      </c>
      <c r="AA233" s="499" t="str">
        <f t="shared" si="264"/>
        <v/>
      </c>
      <c r="AB233" s="499" t="str">
        <f t="shared" si="264"/>
        <v/>
      </c>
      <c r="AC233" s="499" t="str">
        <f t="shared" si="264"/>
        <v/>
      </c>
      <c r="AD233" s="499" t="str">
        <f t="shared" si="264"/>
        <v/>
      </c>
      <c r="AE233" s="499" t="str">
        <f t="shared" si="264"/>
        <v/>
      </c>
      <c r="AF233" s="499" t="str">
        <f t="shared" si="264"/>
        <v/>
      </c>
      <c r="AG233" s="499" t="str">
        <f t="shared" si="264"/>
        <v/>
      </c>
      <c r="AH233" s="499">
        <f t="shared" si="264"/>
        <v>543855.19999999995</v>
      </c>
      <c r="AI233" s="499" t="str">
        <f t="shared" ref="AI233:BN233" si="265">IF(AI173=1, AI$153/AI$156, "")</f>
        <v/>
      </c>
      <c r="AJ233" s="499">
        <f t="shared" si="265"/>
        <v>502016.5228571429</v>
      </c>
      <c r="AK233" s="499" t="str">
        <f t="shared" si="265"/>
        <v/>
      </c>
      <c r="AL233" s="499" t="str">
        <f t="shared" si="265"/>
        <v/>
      </c>
      <c r="AM233" s="499" t="str">
        <f t="shared" si="265"/>
        <v/>
      </c>
      <c r="AN233" s="499">
        <f t="shared" si="265"/>
        <v>84958.095714285722</v>
      </c>
      <c r="AO233" s="499" t="str">
        <f t="shared" si="265"/>
        <v/>
      </c>
      <c r="AP233" s="499" t="str">
        <f t="shared" si="265"/>
        <v/>
      </c>
      <c r="AQ233" s="499" t="str">
        <f t="shared" si="265"/>
        <v/>
      </c>
      <c r="AR233" s="499" t="str">
        <f t="shared" si="265"/>
        <v/>
      </c>
      <c r="AS233" s="499" t="str">
        <f t="shared" si="265"/>
        <v/>
      </c>
      <c r="AT233" s="499" t="str">
        <f t="shared" si="265"/>
        <v/>
      </c>
      <c r="AU233" s="499">
        <f t="shared" si="265"/>
        <v>8341.75</v>
      </c>
      <c r="AV233" s="499" t="str">
        <f t="shared" si="265"/>
        <v/>
      </c>
      <c r="AW233" s="499" t="str">
        <f t="shared" si="265"/>
        <v/>
      </c>
      <c r="AX233" s="499" t="str">
        <f t="shared" si="265"/>
        <v/>
      </c>
      <c r="AY233" s="499">
        <f t="shared" si="265"/>
        <v>203632.5625</v>
      </c>
      <c r="AZ233" s="499" t="str">
        <f t="shared" si="265"/>
        <v/>
      </c>
      <c r="BA233" s="499">
        <f t="shared" si="265"/>
        <v>5607.1428571428569</v>
      </c>
      <c r="BB233" s="499">
        <f t="shared" si="265"/>
        <v>28478.4375</v>
      </c>
      <c r="BC233" s="499">
        <f t="shared" si="265"/>
        <v>316637.30769230769</v>
      </c>
      <c r="BD233" s="499" t="str">
        <f t="shared" si="265"/>
        <v/>
      </c>
      <c r="BE233" s="499">
        <f t="shared" si="265"/>
        <v>8400</v>
      </c>
      <c r="BF233" s="499">
        <f t="shared" si="265"/>
        <v>115000</v>
      </c>
      <c r="BG233" s="499" t="str">
        <f t="shared" si="265"/>
        <v/>
      </c>
      <c r="BH233" s="499" t="str">
        <f t="shared" si="265"/>
        <v/>
      </c>
      <c r="BI233" s="499" t="str">
        <f t="shared" si="265"/>
        <v/>
      </c>
      <c r="BJ233" s="499" t="str">
        <f t="shared" si="265"/>
        <v/>
      </c>
      <c r="BK233" s="499">
        <f t="shared" si="265"/>
        <v>312333.33333333331</v>
      </c>
      <c r="BL233" s="499" t="str">
        <f t="shared" si="265"/>
        <v/>
      </c>
      <c r="BM233" s="499" t="str">
        <f t="shared" si="265"/>
        <v/>
      </c>
      <c r="BN233" s="499" t="str">
        <f t="shared" si="265"/>
        <v/>
      </c>
      <c r="BO233" s="499" t="str">
        <f t="shared" ref="BO233:CT233" si="266">IF(BO173=1, BO$153/BO$156, "")</f>
        <v/>
      </c>
      <c r="BP233" s="499">
        <f t="shared" si="266"/>
        <v>972706.25</v>
      </c>
      <c r="BQ233" s="499" t="str">
        <f t="shared" si="266"/>
        <v/>
      </c>
      <c r="BR233" s="499">
        <f t="shared" si="266"/>
        <v>8000</v>
      </c>
      <c r="BS233" s="499" t="str">
        <f t="shared" si="266"/>
        <v/>
      </c>
      <c r="BT233" s="499">
        <f t="shared" si="266"/>
        <v>516090</v>
      </c>
      <c r="BU233" s="499" t="str">
        <f t="shared" si="266"/>
        <v/>
      </c>
      <c r="BV233" s="499" t="str">
        <f t="shared" si="266"/>
        <v/>
      </c>
      <c r="BW233" s="499" t="str">
        <f t="shared" si="266"/>
        <v/>
      </c>
      <c r="BX233" s="499" t="str">
        <f t="shared" si="266"/>
        <v/>
      </c>
      <c r="BY233" s="499">
        <f t="shared" si="266"/>
        <v>1484.3333333333333</v>
      </c>
      <c r="BZ233" s="499" t="str">
        <f t="shared" si="266"/>
        <v/>
      </c>
      <c r="CA233" s="499" t="str">
        <f t="shared" si="266"/>
        <v/>
      </c>
      <c r="CB233" s="499">
        <f t="shared" si="266"/>
        <v>120308.80952380951</v>
      </c>
      <c r="CC233" s="499" t="str">
        <f t="shared" si="266"/>
        <v/>
      </c>
      <c r="CD233" s="499" t="str">
        <f t="shared" si="266"/>
        <v/>
      </c>
      <c r="CE233" s="499" t="str">
        <f t="shared" si="266"/>
        <v/>
      </c>
      <c r="CF233" s="499">
        <f t="shared" si="266"/>
        <v>2980.7142857142858</v>
      </c>
      <c r="CG233" s="499" t="str">
        <f t="shared" si="266"/>
        <v/>
      </c>
      <c r="CH233" s="499" t="str">
        <f t="shared" si="266"/>
        <v/>
      </c>
      <c r="CI233" s="499" t="str">
        <f t="shared" si="266"/>
        <v/>
      </c>
      <c r="CJ233" s="499" t="str">
        <f t="shared" si="266"/>
        <v/>
      </c>
      <c r="CK233" s="499" t="str">
        <f t="shared" si="266"/>
        <v/>
      </c>
      <c r="CL233" s="499">
        <f t="shared" si="266"/>
        <v>73.2</v>
      </c>
      <c r="CM233" s="499" t="str">
        <f t="shared" si="266"/>
        <v/>
      </c>
      <c r="CN233" s="499" t="str">
        <f t="shared" si="266"/>
        <v/>
      </c>
      <c r="CO233" s="499">
        <f t="shared" si="266"/>
        <v>90416.666666666672</v>
      </c>
      <c r="CP233" s="499" t="str">
        <f t="shared" si="266"/>
        <v/>
      </c>
      <c r="CQ233" s="499" t="str">
        <f t="shared" si="266"/>
        <v/>
      </c>
      <c r="CR233" s="499" t="str">
        <f t="shared" si="266"/>
        <v/>
      </c>
      <c r="CS233" s="499" t="str">
        <f t="shared" si="266"/>
        <v/>
      </c>
      <c r="CT233" s="499">
        <f t="shared" si="266"/>
        <v>808779</v>
      </c>
      <c r="CU233" s="499">
        <f t="shared" ref="CU233:DZ233" si="267">IF(CU173=1, CU$153/CU$156, "")</f>
        <v>106807.5</v>
      </c>
      <c r="CV233" s="499">
        <f t="shared" si="267"/>
        <v>7821</v>
      </c>
      <c r="CW233" s="499">
        <f t="shared" si="267"/>
        <v>580269.25</v>
      </c>
      <c r="CX233" s="499" t="str">
        <f t="shared" si="267"/>
        <v/>
      </c>
      <c r="CY233" s="499">
        <f t="shared" si="267"/>
        <v>2268.6666666666665</v>
      </c>
      <c r="CZ233" s="499" t="str">
        <f t="shared" si="267"/>
        <v/>
      </c>
      <c r="DA233" s="499" t="str">
        <f t="shared" si="267"/>
        <v/>
      </c>
      <c r="DB233" s="499">
        <f t="shared" si="267"/>
        <v>1991.6666666666667</v>
      </c>
      <c r="DC233" s="499">
        <f t="shared" si="267"/>
        <v>275823.3125</v>
      </c>
      <c r="DD233" s="499" t="str">
        <f t="shared" si="267"/>
        <v/>
      </c>
      <c r="DE233" s="499" t="str">
        <f t="shared" si="267"/>
        <v/>
      </c>
      <c r="DF233" s="499" t="str">
        <f t="shared" si="267"/>
        <v/>
      </c>
      <c r="DG233" s="499" t="str">
        <f t="shared" si="267"/>
        <v/>
      </c>
      <c r="DH233" s="499">
        <f t="shared" si="267"/>
        <v>75469.952428571429</v>
      </c>
      <c r="DI233" s="499" t="str">
        <f t="shared" si="267"/>
        <v/>
      </c>
      <c r="DJ233" s="499" t="str">
        <f t="shared" si="267"/>
        <v/>
      </c>
      <c r="DK233" s="499">
        <f t="shared" si="267"/>
        <v>375</v>
      </c>
      <c r="DL233" s="499" t="str">
        <f t="shared" si="267"/>
        <v/>
      </c>
      <c r="DM233" s="499" t="str">
        <f t="shared" si="267"/>
        <v/>
      </c>
      <c r="DN233" s="499" t="str">
        <f t="shared" si="267"/>
        <v/>
      </c>
      <c r="DO233" s="499" t="str">
        <f t="shared" si="267"/>
        <v/>
      </c>
      <c r="DP233" s="499" t="str">
        <f t="shared" si="267"/>
        <v/>
      </c>
      <c r="DQ233" s="499" t="str">
        <f t="shared" si="267"/>
        <v/>
      </c>
      <c r="DR233" s="499" t="str">
        <f t="shared" si="267"/>
        <v/>
      </c>
      <c r="DS233" s="499">
        <f t="shared" si="267"/>
        <v>621000</v>
      </c>
      <c r="DT233" s="499" t="str">
        <f t="shared" si="267"/>
        <v/>
      </c>
      <c r="DU233" s="499" t="str">
        <f t="shared" si="267"/>
        <v/>
      </c>
      <c r="DV233" s="499" t="str">
        <f t="shared" si="267"/>
        <v/>
      </c>
      <c r="DW233" s="499" t="str">
        <f t="shared" si="267"/>
        <v/>
      </c>
      <c r="DX233" s="499" t="str">
        <f t="shared" si="267"/>
        <v/>
      </c>
      <c r="DY233" s="499" t="str">
        <f t="shared" si="267"/>
        <v/>
      </c>
      <c r="DZ233" s="499" t="str">
        <f t="shared" si="267"/>
        <v/>
      </c>
      <c r="EA233" s="499" t="str">
        <f t="shared" ref="EA233:EI233" si="268">IF(EA173=1, EA$153/EA$156, "")</f>
        <v/>
      </c>
      <c r="EB233" s="499" t="str">
        <f t="shared" si="268"/>
        <v/>
      </c>
      <c r="EC233" s="499" t="str">
        <f t="shared" si="268"/>
        <v/>
      </c>
      <c r="ED233" s="499" t="str">
        <f t="shared" si="268"/>
        <v/>
      </c>
      <c r="EE233" s="499">
        <f t="shared" si="268"/>
        <v>3138840.7142857141</v>
      </c>
      <c r="EF233" s="499">
        <f t="shared" si="268"/>
        <v>740478.33333333337</v>
      </c>
      <c r="EG233" s="499">
        <f t="shared" si="268"/>
        <v>77450</v>
      </c>
      <c r="EH233" s="499" t="str">
        <f t="shared" si="268"/>
        <v/>
      </c>
      <c r="EI233" s="499" t="str">
        <f t="shared" si="268"/>
        <v/>
      </c>
      <c r="EJ233" s="499">
        <f t="shared" si="198"/>
        <v>14467109.392978024</v>
      </c>
      <c r="EK233" s="67"/>
      <c r="EL233" s="67"/>
      <c r="EM233" s="67"/>
      <c r="EN233" s="67"/>
      <c r="EO233" s="67"/>
      <c r="EP233" s="67"/>
      <c r="EQ233" s="67"/>
      <c r="ER233" s="67"/>
      <c r="ES233" s="67"/>
      <c r="ET233" s="67"/>
      <c r="EU233" s="67"/>
      <c r="EV233" s="67"/>
      <c r="EW233" s="67"/>
      <c r="EX233" s="67"/>
      <c r="EY233" s="67"/>
      <c r="EZ233" s="67"/>
    </row>
    <row r="234" spans="1:156">
      <c r="B234" s="500" t="s">
        <v>94</v>
      </c>
      <c r="C234" s="499" t="str">
        <f t="shared" ref="C234:AH234" si="269">IF(C174=1, C$153/C$156, "")</f>
        <v/>
      </c>
      <c r="D234" s="499" t="str">
        <f t="shared" si="269"/>
        <v/>
      </c>
      <c r="E234" s="499" t="str">
        <f t="shared" si="269"/>
        <v/>
      </c>
      <c r="F234" s="499" t="str">
        <f t="shared" si="269"/>
        <v/>
      </c>
      <c r="G234" s="499">
        <f t="shared" si="269"/>
        <v>545468.5</v>
      </c>
      <c r="H234" s="499">
        <f t="shared" si="269"/>
        <v>17291.6875</v>
      </c>
      <c r="I234" s="499" t="str">
        <f t="shared" si="269"/>
        <v/>
      </c>
      <c r="J234" s="499" t="str">
        <f t="shared" si="269"/>
        <v/>
      </c>
      <c r="K234" s="499" t="str">
        <f t="shared" si="269"/>
        <v/>
      </c>
      <c r="L234" s="499" t="str">
        <f t="shared" si="269"/>
        <v/>
      </c>
      <c r="M234" s="499" t="str">
        <f t="shared" si="269"/>
        <v/>
      </c>
      <c r="N234" s="499" t="str">
        <f t="shared" si="269"/>
        <v/>
      </c>
      <c r="O234" s="499" t="str">
        <f t="shared" si="269"/>
        <v/>
      </c>
      <c r="P234" s="499" t="str">
        <f t="shared" si="269"/>
        <v/>
      </c>
      <c r="Q234" s="499" t="str">
        <f t="shared" si="269"/>
        <v/>
      </c>
      <c r="R234" s="499" t="str">
        <f t="shared" si="269"/>
        <v/>
      </c>
      <c r="S234" s="499" t="str">
        <f t="shared" si="269"/>
        <v/>
      </c>
      <c r="T234" s="499" t="str">
        <f t="shared" si="269"/>
        <v/>
      </c>
      <c r="U234" s="499" t="str">
        <f t="shared" si="269"/>
        <v/>
      </c>
      <c r="V234" s="499" t="str">
        <f t="shared" si="269"/>
        <v/>
      </c>
      <c r="W234" s="499" t="str">
        <f t="shared" si="269"/>
        <v/>
      </c>
      <c r="X234" s="499">
        <f t="shared" si="269"/>
        <v>1972167.5</v>
      </c>
      <c r="Y234" s="499" t="str">
        <f t="shared" si="269"/>
        <v/>
      </c>
      <c r="Z234" s="499">
        <f t="shared" si="269"/>
        <v>3333.3333333333335</v>
      </c>
      <c r="AA234" s="499" t="str">
        <f t="shared" si="269"/>
        <v/>
      </c>
      <c r="AB234" s="499" t="str">
        <f t="shared" si="269"/>
        <v/>
      </c>
      <c r="AC234" s="499" t="str">
        <f t="shared" si="269"/>
        <v/>
      </c>
      <c r="AD234" s="499" t="str">
        <f t="shared" si="269"/>
        <v/>
      </c>
      <c r="AE234" s="499" t="str">
        <f t="shared" si="269"/>
        <v/>
      </c>
      <c r="AF234" s="499" t="str">
        <f t="shared" si="269"/>
        <v/>
      </c>
      <c r="AG234" s="499" t="str">
        <f t="shared" si="269"/>
        <v/>
      </c>
      <c r="AH234" s="499">
        <f t="shared" si="269"/>
        <v>543855.19999999995</v>
      </c>
      <c r="AI234" s="499" t="str">
        <f t="shared" ref="AI234:BN234" si="270">IF(AI174=1, AI$153/AI$156, "")</f>
        <v/>
      </c>
      <c r="AJ234" s="499" t="str">
        <f t="shared" si="270"/>
        <v/>
      </c>
      <c r="AK234" s="499" t="str">
        <f t="shared" si="270"/>
        <v/>
      </c>
      <c r="AL234" s="499" t="str">
        <f t="shared" si="270"/>
        <v/>
      </c>
      <c r="AM234" s="499" t="str">
        <f t="shared" si="270"/>
        <v/>
      </c>
      <c r="AN234" s="499" t="str">
        <f t="shared" si="270"/>
        <v/>
      </c>
      <c r="AO234" s="499" t="str">
        <f t="shared" si="270"/>
        <v/>
      </c>
      <c r="AP234" s="499" t="str">
        <f t="shared" si="270"/>
        <v/>
      </c>
      <c r="AQ234" s="499" t="str">
        <f t="shared" si="270"/>
        <v/>
      </c>
      <c r="AR234" s="499" t="str">
        <f t="shared" si="270"/>
        <v/>
      </c>
      <c r="AS234" s="499" t="str">
        <f t="shared" si="270"/>
        <v/>
      </c>
      <c r="AT234" s="499" t="str">
        <f t="shared" si="270"/>
        <v/>
      </c>
      <c r="AU234" s="499" t="str">
        <f t="shared" si="270"/>
        <v/>
      </c>
      <c r="AV234" s="499" t="str">
        <f t="shared" si="270"/>
        <v/>
      </c>
      <c r="AW234" s="499" t="str">
        <f t="shared" si="270"/>
        <v/>
      </c>
      <c r="AX234" s="499">
        <f t="shared" si="270"/>
        <v>18534.400000000001</v>
      </c>
      <c r="AY234" s="499">
        <f t="shared" si="270"/>
        <v>203632.5625</v>
      </c>
      <c r="AZ234" s="499" t="str">
        <f t="shared" si="270"/>
        <v/>
      </c>
      <c r="BA234" s="499">
        <f t="shared" si="270"/>
        <v>5607.1428571428569</v>
      </c>
      <c r="BB234" s="499">
        <f t="shared" si="270"/>
        <v>28478.4375</v>
      </c>
      <c r="BC234" s="499">
        <f t="shared" si="270"/>
        <v>316637.30769230769</v>
      </c>
      <c r="BD234" s="499">
        <f t="shared" si="270"/>
        <v>258987.85714285713</v>
      </c>
      <c r="BE234" s="499" t="str">
        <f t="shared" si="270"/>
        <v/>
      </c>
      <c r="BF234" s="499" t="str">
        <f t="shared" si="270"/>
        <v/>
      </c>
      <c r="BG234" s="499" t="str">
        <f t="shared" si="270"/>
        <v/>
      </c>
      <c r="BH234" s="499" t="str">
        <f t="shared" si="270"/>
        <v/>
      </c>
      <c r="BI234" s="499" t="str">
        <f t="shared" si="270"/>
        <v/>
      </c>
      <c r="BJ234" s="499" t="str">
        <f t="shared" si="270"/>
        <v/>
      </c>
      <c r="BK234" s="499" t="str">
        <f t="shared" si="270"/>
        <v/>
      </c>
      <c r="BL234" s="499">
        <f t="shared" si="270"/>
        <v>909167</v>
      </c>
      <c r="BM234" s="499" t="str">
        <f t="shared" si="270"/>
        <v/>
      </c>
      <c r="BN234" s="499" t="str">
        <f t="shared" si="270"/>
        <v/>
      </c>
      <c r="BO234" s="499">
        <f t="shared" ref="BO234:CT234" si="271">IF(BO174=1, BO$153/BO$156, "")</f>
        <v>7186470</v>
      </c>
      <c r="BP234" s="499">
        <f t="shared" si="271"/>
        <v>972706.25</v>
      </c>
      <c r="BQ234" s="499" t="str">
        <f t="shared" si="271"/>
        <v/>
      </c>
      <c r="BR234" s="499" t="str">
        <f t="shared" si="271"/>
        <v/>
      </c>
      <c r="BS234" s="499" t="str">
        <f t="shared" si="271"/>
        <v/>
      </c>
      <c r="BT234" s="499" t="str">
        <f t="shared" si="271"/>
        <v/>
      </c>
      <c r="BU234" s="499" t="str">
        <f t="shared" si="271"/>
        <v/>
      </c>
      <c r="BV234" s="499" t="str">
        <f t="shared" si="271"/>
        <v/>
      </c>
      <c r="BW234" s="499">
        <f t="shared" si="271"/>
        <v>675600</v>
      </c>
      <c r="BX234" s="499">
        <f t="shared" si="271"/>
        <v>2175464</v>
      </c>
      <c r="BY234" s="499" t="str">
        <f t="shared" si="271"/>
        <v/>
      </c>
      <c r="BZ234" s="499" t="str">
        <f t="shared" si="271"/>
        <v/>
      </c>
      <c r="CA234" s="499" t="str">
        <f t="shared" si="271"/>
        <v/>
      </c>
      <c r="CB234" s="499" t="str">
        <f t="shared" si="271"/>
        <v/>
      </c>
      <c r="CC234" s="499" t="str">
        <f t="shared" si="271"/>
        <v/>
      </c>
      <c r="CD234" s="499" t="str">
        <f t="shared" si="271"/>
        <v/>
      </c>
      <c r="CE234" s="499">
        <f t="shared" si="271"/>
        <v>714350</v>
      </c>
      <c r="CF234" s="499">
        <f t="shared" si="271"/>
        <v>2980.7142857142858</v>
      </c>
      <c r="CG234" s="499" t="str">
        <f t="shared" si="271"/>
        <v/>
      </c>
      <c r="CH234" s="499" t="str">
        <f t="shared" si="271"/>
        <v/>
      </c>
      <c r="CI234" s="499" t="str">
        <f t="shared" si="271"/>
        <v/>
      </c>
      <c r="CJ234" s="499" t="str">
        <f t="shared" si="271"/>
        <v/>
      </c>
      <c r="CK234" s="499" t="str">
        <f t="shared" si="271"/>
        <v/>
      </c>
      <c r="CL234" s="499" t="str">
        <f t="shared" si="271"/>
        <v/>
      </c>
      <c r="CM234" s="499" t="str">
        <f t="shared" si="271"/>
        <v/>
      </c>
      <c r="CN234" s="499" t="str">
        <f t="shared" si="271"/>
        <v/>
      </c>
      <c r="CO234" s="499" t="str">
        <f t="shared" si="271"/>
        <v/>
      </c>
      <c r="CP234" s="499" t="str">
        <f t="shared" si="271"/>
        <v/>
      </c>
      <c r="CQ234" s="499" t="str">
        <f t="shared" si="271"/>
        <v/>
      </c>
      <c r="CR234" s="499" t="str">
        <f t="shared" si="271"/>
        <v/>
      </c>
      <c r="CS234" s="499" t="str">
        <f t="shared" si="271"/>
        <v/>
      </c>
      <c r="CT234" s="499" t="str">
        <f t="shared" si="271"/>
        <v/>
      </c>
      <c r="CU234" s="499" t="str">
        <f t="shared" ref="CU234:DZ234" si="272">IF(CU174=1, CU$153/CU$156, "")</f>
        <v/>
      </c>
      <c r="CV234" s="499" t="str">
        <f t="shared" si="272"/>
        <v/>
      </c>
      <c r="CW234" s="499" t="str">
        <f t="shared" si="272"/>
        <v/>
      </c>
      <c r="CX234" s="499" t="str">
        <f t="shared" si="272"/>
        <v/>
      </c>
      <c r="CY234" s="499" t="str">
        <f t="shared" si="272"/>
        <v/>
      </c>
      <c r="CZ234" s="499" t="str">
        <f t="shared" si="272"/>
        <v/>
      </c>
      <c r="DA234" s="499" t="str">
        <f t="shared" si="272"/>
        <v/>
      </c>
      <c r="DB234" s="499" t="str">
        <f t="shared" si="272"/>
        <v/>
      </c>
      <c r="DC234" s="499">
        <f t="shared" si="272"/>
        <v>275823.3125</v>
      </c>
      <c r="DD234" s="499" t="str">
        <f t="shared" si="272"/>
        <v/>
      </c>
      <c r="DE234" s="499" t="str">
        <f t="shared" si="272"/>
        <v/>
      </c>
      <c r="DF234" s="499" t="str">
        <f t="shared" si="272"/>
        <v/>
      </c>
      <c r="DG234" s="499" t="str">
        <f t="shared" si="272"/>
        <v/>
      </c>
      <c r="DH234" s="499" t="str">
        <f t="shared" si="272"/>
        <v/>
      </c>
      <c r="DI234" s="499" t="str">
        <f t="shared" si="272"/>
        <v/>
      </c>
      <c r="DJ234" s="499" t="str">
        <f t="shared" si="272"/>
        <v/>
      </c>
      <c r="DK234" s="499">
        <f t="shared" si="272"/>
        <v>375</v>
      </c>
      <c r="DL234" s="499" t="str">
        <f t="shared" si="272"/>
        <v/>
      </c>
      <c r="DM234" s="499" t="str">
        <f t="shared" si="272"/>
        <v/>
      </c>
      <c r="DN234" s="499" t="str">
        <f t="shared" si="272"/>
        <v/>
      </c>
      <c r="DO234" s="499" t="str">
        <f t="shared" si="272"/>
        <v/>
      </c>
      <c r="DP234" s="499">
        <f t="shared" si="272"/>
        <v>787500</v>
      </c>
      <c r="DQ234" s="499" t="str">
        <f t="shared" si="272"/>
        <v/>
      </c>
      <c r="DR234" s="499" t="str">
        <f t="shared" si="272"/>
        <v/>
      </c>
      <c r="DS234" s="499" t="str">
        <f t="shared" si="272"/>
        <v/>
      </c>
      <c r="DT234" s="499">
        <f t="shared" si="272"/>
        <v>142538</v>
      </c>
      <c r="DU234" s="499" t="str">
        <f t="shared" si="272"/>
        <v/>
      </c>
      <c r="DV234" s="499" t="str">
        <f t="shared" si="272"/>
        <v/>
      </c>
      <c r="DW234" s="499" t="str">
        <f t="shared" si="272"/>
        <v/>
      </c>
      <c r="DX234" s="499" t="str">
        <f t="shared" si="272"/>
        <v/>
      </c>
      <c r="DY234" s="499">
        <f t="shared" si="272"/>
        <v>250000</v>
      </c>
      <c r="DZ234" s="499" t="str">
        <f t="shared" si="272"/>
        <v/>
      </c>
      <c r="EA234" s="499" t="str">
        <f t="shared" ref="EA234:EI234" si="273">IF(EA174=1, EA$153/EA$156, "")</f>
        <v/>
      </c>
      <c r="EB234" s="499" t="str">
        <f t="shared" si="273"/>
        <v/>
      </c>
      <c r="EC234" s="499" t="str">
        <f t="shared" si="273"/>
        <v/>
      </c>
      <c r="ED234" s="499" t="str">
        <f t="shared" si="273"/>
        <v/>
      </c>
      <c r="EE234" s="499" t="str">
        <f t="shared" si="273"/>
        <v/>
      </c>
      <c r="EF234" s="499" t="str">
        <f t="shared" si="273"/>
        <v/>
      </c>
      <c r="EG234" s="499" t="str">
        <f t="shared" si="273"/>
        <v/>
      </c>
      <c r="EH234" s="499" t="str">
        <f t="shared" si="273"/>
        <v/>
      </c>
      <c r="EI234" s="499" t="str">
        <f t="shared" si="273"/>
        <v/>
      </c>
      <c r="EJ234" s="499">
        <f t="shared" si="198"/>
        <v>18006968.205311358</v>
      </c>
      <c r="EK234" s="67"/>
      <c r="EL234" s="67"/>
      <c r="EM234" s="67"/>
      <c r="EN234" s="67"/>
      <c r="EO234" s="67"/>
      <c r="EP234" s="67"/>
      <c r="EQ234" s="67"/>
      <c r="ER234" s="67"/>
      <c r="ES234" s="67"/>
      <c r="ET234" s="67"/>
      <c r="EU234" s="67"/>
      <c r="EV234" s="67"/>
      <c r="EW234" s="67"/>
      <c r="EX234" s="67"/>
      <c r="EY234" s="67"/>
      <c r="EZ234" s="67"/>
    </row>
    <row r="235" spans="1:156">
      <c r="B235" s="500" t="s">
        <v>70</v>
      </c>
      <c r="C235" s="499" t="str">
        <f t="shared" ref="C235:AH235" si="274">IF(C175=1, C$153/C$156, "")</f>
        <v/>
      </c>
      <c r="D235" s="499" t="str">
        <f t="shared" si="274"/>
        <v/>
      </c>
      <c r="E235" s="499" t="str">
        <f t="shared" si="274"/>
        <v/>
      </c>
      <c r="F235" s="499" t="str">
        <f t="shared" si="274"/>
        <v/>
      </c>
      <c r="G235" s="499" t="str">
        <f t="shared" si="274"/>
        <v/>
      </c>
      <c r="H235" s="499" t="str">
        <f t="shared" si="274"/>
        <v/>
      </c>
      <c r="I235" s="499" t="str">
        <f t="shared" si="274"/>
        <v/>
      </c>
      <c r="J235" s="499" t="str">
        <f t="shared" si="274"/>
        <v/>
      </c>
      <c r="K235" s="499">
        <f t="shared" si="274"/>
        <v>2583500</v>
      </c>
      <c r="L235" s="499">
        <f t="shared" si="274"/>
        <v>2889000</v>
      </c>
      <c r="M235" s="499" t="str">
        <f t="shared" si="274"/>
        <v/>
      </c>
      <c r="N235" s="499">
        <f t="shared" si="274"/>
        <v>1216666.6666666667</v>
      </c>
      <c r="O235" s="499">
        <f t="shared" si="274"/>
        <v>4500000</v>
      </c>
      <c r="P235" s="499" t="str">
        <f t="shared" si="274"/>
        <v/>
      </c>
      <c r="Q235" s="499" t="str">
        <f t="shared" si="274"/>
        <v/>
      </c>
      <c r="R235" s="499" t="str">
        <f t="shared" si="274"/>
        <v/>
      </c>
      <c r="S235" s="499" t="str">
        <f t="shared" si="274"/>
        <v/>
      </c>
      <c r="T235" s="499" t="str">
        <f t="shared" si="274"/>
        <v/>
      </c>
      <c r="U235" s="499" t="str">
        <f t="shared" si="274"/>
        <v/>
      </c>
      <c r="V235" s="499">
        <f t="shared" si="274"/>
        <v>14760000</v>
      </c>
      <c r="W235" s="499">
        <f t="shared" si="274"/>
        <v>15000</v>
      </c>
      <c r="X235" s="499" t="str">
        <f t="shared" si="274"/>
        <v/>
      </c>
      <c r="Y235" s="499" t="str">
        <f t="shared" si="274"/>
        <v/>
      </c>
      <c r="Z235" s="499" t="str">
        <f t="shared" si="274"/>
        <v/>
      </c>
      <c r="AA235" s="499" t="str">
        <f t="shared" si="274"/>
        <v/>
      </c>
      <c r="AB235" s="499">
        <f t="shared" si="274"/>
        <v>929187.5</v>
      </c>
      <c r="AC235" s="499" t="str">
        <f t="shared" si="274"/>
        <v/>
      </c>
      <c r="AD235" s="499" t="str">
        <f t="shared" si="274"/>
        <v/>
      </c>
      <c r="AE235" s="499">
        <f t="shared" si="274"/>
        <v>4666666.666666667</v>
      </c>
      <c r="AF235" s="499" t="str">
        <f t="shared" si="274"/>
        <v/>
      </c>
      <c r="AG235" s="499" t="str">
        <f t="shared" si="274"/>
        <v/>
      </c>
      <c r="AH235" s="499">
        <f t="shared" si="274"/>
        <v>543855.19999999995</v>
      </c>
      <c r="AI235" s="499" t="str">
        <f t="shared" ref="AI235:BN235" si="275">IF(AI175=1, AI$153/AI$156, "")</f>
        <v/>
      </c>
      <c r="AJ235" s="499" t="str">
        <f t="shared" si="275"/>
        <v/>
      </c>
      <c r="AK235" s="499" t="str">
        <f t="shared" si="275"/>
        <v/>
      </c>
      <c r="AL235" s="499" t="str">
        <f t="shared" si="275"/>
        <v/>
      </c>
      <c r="AM235" s="499" t="str">
        <f t="shared" si="275"/>
        <v/>
      </c>
      <c r="AN235" s="499" t="str">
        <f t="shared" si="275"/>
        <v/>
      </c>
      <c r="AO235" s="499" t="str">
        <f t="shared" si="275"/>
        <v/>
      </c>
      <c r="AP235" s="499" t="str">
        <f t="shared" si="275"/>
        <v/>
      </c>
      <c r="AQ235" s="499">
        <f t="shared" si="275"/>
        <v>90000</v>
      </c>
      <c r="AR235" s="499" t="str">
        <f t="shared" si="275"/>
        <v/>
      </c>
      <c r="AS235" s="499" t="str">
        <f t="shared" si="275"/>
        <v/>
      </c>
      <c r="AT235" s="499" t="str">
        <f t="shared" si="275"/>
        <v/>
      </c>
      <c r="AU235" s="499">
        <f t="shared" si="275"/>
        <v>8341.75</v>
      </c>
      <c r="AV235" s="499" t="str">
        <f t="shared" si="275"/>
        <v/>
      </c>
      <c r="AW235" s="499" t="str">
        <f t="shared" si="275"/>
        <v/>
      </c>
      <c r="AX235" s="499" t="str">
        <f t="shared" si="275"/>
        <v/>
      </c>
      <c r="AY235" s="499" t="str">
        <f t="shared" si="275"/>
        <v/>
      </c>
      <c r="AZ235" s="499" t="str">
        <f t="shared" si="275"/>
        <v/>
      </c>
      <c r="BA235" s="499">
        <f t="shared" si="275"/>
        <v>5607.1428571428569</v>
      </c>
      <c r="BB235" s="499" t="str">
        <f t="shared" si="275"/>
        <v/>
      </c>
      <c r="BC235" s="499" t="str">
        <f t="shared" si="275"/>
        <v/>
      </c>
      <c r="BD235" s="499" t="str">
        <f t="shared" si="275"/>
        <v/>
      </c>
      <c r="BE235" s="499" t="str">
        <f t="shared" si="275"/>
        <v/>
      </c>
      <c r="BF235" s="499" t="str">
        <f t="shared" si="275"/>
        <v/>
      </c>
      <c r="BG235" s="499" t="str">
        <f t="shared" si="275"/>
        <v/>
      </c>
      <c r="BH235" s="499">
        <f t="shared" si="275"/>
        <v>1000000</v>
      </c>
      <c r="BI235" s="499">
        <f t="shared" si="275"/>
        <v>1000000</v>
      </c>
      <c r="BJ235" s="499">
        <f t="shared" si="275"/>
        <v>666666.66666666663</v>
      </c>
      <c r="BK235" s="499" t="str">
        <f t="shared" si="275"/>
        <v/>
      </c>
      <c r="BL235" s="499" t="str">
        <f t="shared" si="275"/>
        <v/>
      </c>
      <c r="BM235" s="499" t="str">
        <f t="shared" si="275"/>
        <v/>
      </c>
      <c r="BN235" s="499" t="str">
        <f t="shared" si="275"/>
        <v/>
      </c>
      <c r="BO235" s="499" t="str">
        <f t="shared" ref="BO235:CT235" si="276">IF(BO175=1, BO$153/BO$156, "")</f>
        <v/>
      </c>
      <c r="BP235" s="499" t="str">
        <f t="shared" si="276"/>
        <v/>
      </c>
      <c r="BQ235" s="499">
        <f t="shared" si="276"/>
        <v>32457715</v>
      </c>
      <c r="BR235" s="499" t="str">
        <f t="shared" si="276"/>
        <v/>
      </c>
      <c r="BS235" s="499">
        <f t="shared" si="276"/>
        <v>4755330</v>
      </c>
      <c r="BT235" s="499" t="str">
        <f t="shared" si="276"/>
        <v/>
      </c>
      <c r="BU235" s="499" t="str">
        <f t="shared" si="276"/>
        <v/>
      </c>
      <c r="BV235" s="499" t="str">
        <f t="shared" si="276"/>
        <v/>
      </c>
      <c r="BW235" s="499" t="str">
        <f t="shared" si="276"/>
        <v/>
      </c>
      <c r="BX235" s="499" t="str">
        <f t="shared" si="276"/>
        <v/>
      </c>
      <c r="BY235" s="499" t="str">
        <f t="shared" si="276"/>
        <v/>
      </c>
      <c r="BZ235" s="499">
        <f t="shared" si="276"/>
        <v>4305</v>
      </c>
      <c r="CA235" s="499" t="str">
        <f t="shared" si="276"/>
        <v/>
      </c>
      <c r="CB235" s="499" t="str">
        <f t="shared" si="276"/>
        <v/>
      </c>
      <c r="CC235" s="499" t="str">
        <f t="shared" si="276"/>
        <v/>
      </c>
      <c r="CD235" s="499" t="str">
        <f t="shared" si="276"/>
        <v/>
      </c>
      <c r="CE235" s="499" t="str">
        <f t="shared" si="276"/>
        <v/>
      </c>
      <c r="CF235" s="499" t="str">
        <f t="shared" si="276"/>
        <v/>
      </c>
      <c r="CG235" s="499" t="str">
        <f t="shared" si="276"/>
        <v/>
      </c>
      <c r="CH235" s="499">
        <f t="shared" si="276"/>
        <v>34650000</v>
      </c>
      <c r="CI235" s="499">
        <f t="shared" si="276"/>
        <v>30000</v>
      </c>
      <c r="CJ235" s="499" t="str">
        <f t="shared" si="276"/>
        <v/>
      </c>
      <c r="CK235" s="499" t="str">
        <f t="shared" si="276"/>
        <v/>
      </c>
      <c r="CL235" s="499" t="str">
        <f t="shared" si="276"/>
        <v/>
      </c>
      <c r="CM235" s="499" t="str">
        <f t="shared" si="276"/>
        <v/>
      </c>
      <c r="CN235" s="499" t="str">
        <f t="shared" si="276"/>
        <v/>
      </c>
      <c r="CO235" s="499" t="str">
        <f t="shared" si="276"/>
        <v/>
      </c>
      <c r="CP235" s="499" t="str">
        <f t="shared" si="276"/>
        <v/>
      </c>
      <c r="CQ235" s="499">
        <f t="shared" si="276"/>
        <v>9360000</v>
      </c>
      <c r="CR235" s="499">
        <f t="shared" si="276"/>
        <v>1638131</v>
      </c>
      <c r="CS235" s="499" t="str">
        <f t="shared" si="276"/>
        <v/>
      </c>
      <c r="CT235" s="499" t="str">
        <f t="shared" si="276"/>
        <v/>
      </c>
      <c r="CU235" s="499">
        <f t="shared" ref="CU235:DZ235" si="277">IF(CU175=1, CU$153/CU$156, "")</f>
        <v>106807.5</v>
      </c>
      <c r="CV235" s="499" t="str">
        <f t="shared" si="277"/>
        <v/>
      </c>
      <c r="CW235" s="499" t="str">
        <f t="shared" si="277"/>
        <v/>
      </c>
      <c r="CX235" s="499" t="str">
        <f t="shared" si="277"/>
        <v/>
      </c>
      <c r="CY235" s="499" t="str">
        <f t="shared" si="277"/>
        <v/>
      </c>
      <c r="CZ235" s="499" t="str">
        <f t="shared" si="277"/>
        <v/>
      </c>
      <c r="DA235" s="499">
        <f t="shared" si="277"/>
        <v>73500</v>
      </c>
      <c r="DB235" s="499" t="str">
        <f t="shared" si="277"/>
        <v/>
      </c>
      <c r="DC235" s="499" t="str">
        <f t="shared" si="277"/>
        <v/>
      </c>
      <c r="DD235" s="499" t="str">
        <f t="shared" si="277"/>
        <v/>
      </c>
      <c r="DE235" s="499" t="str">
        <f t="shared" si="277"/>
        <v/>
      </c>
      <c r="DF235" s="499" t="str">
        <f t="shared" si="277"/>
        <v/>
      </c>
      <c r="DG235" s="499" t="str">
        <f t="shared" si="277"/>
        <v/>
      </c>
      <c r="DH235" s="499" t="str">
        <f t="shared" si="277"/>
        <v/>
      </c>
      <c r="DI235" s="499" t="str">
        <f t="shared" si="277"/>
        <v/>
      </c>
      <c r="DJ235" s="499" t="str">
        <f t="shared" si="277"/>
        <v/>
      </c>
      <c r="DK235" s="499" t="str">
        <f t="shared" si="277"/>
        <v/>
      </c>
      <c r="DL235" s="499">
        <f t="shared" si="277"/>
        <v>358500</v>
      </c>
      <c r="DM235" s="499">
        <f t="shared" si="277"/>
        <v>13133.5</v>
      </c>
      <c r="DN235" s="499">
        <f t="shared" si="277"/>
        <v>3350</v>
      </c>
      <c r="DO235" s="499">
        <f t="shared" si="277"/>
        <v>7736462.333333333</v>
      </c>
      <c r="DP235" s="499" t="str">
        <f t="shared" si="277"/>
        <v/>
      </c>
      <c r="DQ235" s="499" t="str">
        <f t="shared" si="277"/>
        <v/>
      </c>
      <c r="DR235" s="499" t="str">
        <f t="shared" si="277"/>
        <v/>
      </c>
      <c r="DS235" s="499" t="str">
        <f t="shared" si="277"/>
        <v/>
      </c>
      <c r="DT235" s="499" t="str">
        <f t="shared" si="277"/>
        <v/>
      </c>
      <c r="DU235" s="499">
        <f t="shared" si="277"/>
        <v>2935466.6666666665</v>
      </c>
      <c r="DV235" s="499">
        <f t="shared" si="277"/>
        <v>387000</v>
      </c>
      <c r="DW235" s="499" t="str">
        <f t="shared" si="277"/>
        <v/>
      </c>
      <c r="DX235" s="499" t="str">
        <f t="shared" si="277"/>
        <v/>
      </c>
      <c r="DY235" s="499" t="str">
        <f t="shared" si="277"/>
        <v/>
      </c>
      <c r="DZ235" s="499" t="str">
        <f t="shared" si="277"/>
        <v/>
      </c>
      <c r="EA235" s="499" t="str">
        <f t="shared" ref="EA235:EI235" si="278">IF(EA175=1, EA$153/EA$156, "")</f>
        <v/>
      </c>
      <c r="EB235" s="499">
        <f t="shared" si="278"/>
        <v>4306500</v>
      </c>
      <c r="EC235" s="499">
        <f t="shared" si="278"/>
        <v>765515</v>
      </c>
      <c r="ED235" s="499" t="str">
        <f t="shared" si="278"/>
        <v/>
      </c>
      <c r="EE235" s="499" t="str">
        <f t="shared" si="278"/>
        <v/>
      </c>
      <c r="EF235" s="499" t="str">
        <f t="shared" si="278"/>
        <v/>
      </c>
      <c r="EG235" s="499" t="str">
        <f t="shared" si="278"/>
        <v/>
      </c>
      <c r="EH235" s="499" t="str">
        <f t="shared" si="278"/>
        <v/>
      </c>
      <c r="EI235" s="499" t="str">
        <f t="shared" si="278"/>
        <v/>
      </c>
      <c r="EJ235" s="499">
        <f t="shared" si="198"/>
        <v>134456207.59285715</v>
      </c>
      <c r="EK235" s="67"/>
      <c r="EL235" s="67"/>
      <c r="EM235" s="67"/>
      <c r="EN235" s="67"/>
      <c r="EO235" s="67"/>
      <c r="EP235" s="67"/>
      <c r="EQ235" s="67"/>
      <c r="ER235" s="67"/>
      <c r="ES235" s="67"/>
      <c r="ET235" s="67"/>
      <c r="EU235" s="67"/>
      <c r="EV235" s="67"/>
      <c r="EW235" s="67"/>
      <c r="EX235" s="67"/>
      <c r="EY235" s="67"/>
      <c r="EZ235" s="67"/>
    </row>
    <row r="236" spans="1:156" s="92" customFormat="1" ht="13.95" customHeight="1">
      <c r="A236" s="61"/>
      <c r="B236" s="498" t="s">
        <v>581</v>
      </c>
      <c r="C236" s="497" t="str">
        <f t="shared" ref="C236:AH236" si="279">IF(SUM(C219:C235)=C153, "Consistent", "Inconsistent")</f>
        <v>Consistent</v>
      </c>
      <c r="D236" s="497" t="str">
        <f t="shared" si="279"/>
        <v>Consistent</v>
      </c>
      <c r="E236" s="497" t="str">
        <f t="shared" si="279"/>
        <v>Consistent</v>
      </c>
      <c r="F236" s="497" t="str">
        <f t="shared" si="279"/>
        <v>Consistent</v>
      </c>
      <c r="G236" s="497" t="str">
        <f t="shared" si="279"/>
        <v>Consistent</v>
      </c>
      <c r="H236" s="497" t="str">
        <f t="shared" si="279"/>
        <v>Consistent</v>
      </c>
      <c r="I236" s="497" t="str">
        <f t="shared" si="279"/>
        <v>Consistent</v>
      </c>
      <c r="J236" s="497" t="str">
        <f t="shared" si="279"/>
        <v>Consistent</v>
      </c>
      <c r="K236" s="497" t="str">
        <f t="shared" si="279"/>
        <v>Consistent</v>
      </c>
      <c r="L236" s="497" t="str">
        <f t="shared" si="279"/>
        <v>Consistent</v>
      </c>
      <c r="M236" s="497" t="str">
        <f t="shared" si="279"/>
        <v>Consistent</v>
      </c>
      <c r="N236" s="497" t="str">
        <f t="shared" si="279"/>
        <v>Consistent</v>
      </c>
      <c r="O236" s="497" t="str">
        <f t="shared" si="279"/>
        <v>Consistent</v>
      </c>
      <c r="P236" s="497" t="str">
        <f t="shared" si="279"/>
        <v>Consistent</v>
      </c>
      <c r="Q236" s="497" t="str">
        <f t="shared" si="279"/>
        <v>Consistent</v>
      </c>
      <c r="R236" s="497" t="str">
        <f t="shared" si="279"/>
        <v>Consistent</v>
      </c>
      <c r="S236" s="497" t="str">
        <f t="shared" si="279"/>
        <v>Consistent</v>
      </c>
      <c r="T236" s="497" t="str">
        <f t="shared" si="279"/>
        <v>Consistent</v>
      </c>
      <c r="U236" s="497" t="str">
        <f t="shared" si="279"/>
        <v>Consistent</v>
      </c>
      <c r="V236" s="497" t="str">
        <f t="shared" si="279"/>
        <v>Consistent</v>
      </c>
      <c r="W236" s="497" t="str">
        <f t="shared" si="279"/>
        <v>Consistent</v>
      </c>
      <c r="X236" s="497" t="str">
        <f t="shared" si="279"/>
        <v>Consistent</v>
      </c>
      <c r="Y236" s="497" t="str">
        <f t="shared" si="279"/>
        <v>Consistent</v>
      </c>
      <c r="Z236" s="497" t="str">
        <f t="shared" si="279"/>
        <v>Consistent</v>
      </c>
      <c r="AA236" s="497" t="str">
        <f t="shared" si="279"/>
        <v>Consistent</v>
      </c>
      <c r="AB236" s="497" t="str">
        <f t="shared" si="279"/>
        <v>Consistent</v>
      </c>
      <c r="AC236" s="497" t="str">
        <f t="shared" si="279"/>
        <v>Consistent</v>
      </c>
      <c r="AD236" s="497" t="str">
        <f t="shared" si="279"/>
        <v>Consistent</v>
      </c>
      <c r="AE236" s="497" t="str">
        <f t="shared" si="279"/>
        <v>Consistent</v>
      </c>
      <c r="AF236" s="497" t="str">
        <f t="shared" si="279"/>
        <v>Consistent</v>
      </c>
      <c r="AG236" s="497" t="str">
        <f t="shared" si="279"/>
        <v>Consistent</v>
      </c>
      <c r="AH236" s="497" t="str">
        <f t="shared" si="279"/>
        <v>Consistent</v>
      </c>
      <c r="AI236" s="497" t="str">
        <f t="shared" ref="AI236:BN236" si="280">IF(SUM(AI219:AI235)=AI153, "Consistent", "Inconsistent")</f>
        <v>Consistent</v>
      </c>
      <c r="AJ236" s="497" t="str">
        <f t="shared" si="280"/>
        <v>Consistent</v>
      </c>
      <c r="AK236" s="497" t="str">
        <f t="shared" si="280"/>
        <v>Consistent</v>
      </c>
      <c r="AL236" s="497" t="str">
        <f t="shared" si="280"/>
        <v>Consistent</v>
      </c>
      <c r="AM236" s="497" t="str">
        <f t="shared" si="280"/>
        <v>Consistent</v>
      </c>
      <c r="AN236" s="497" t="str">
        <f t="shared" si="280"/>
        <v>Consistent</v>
      </c>
      <c r="AO236" s="497" t="str">
        <f t="shared" si="280"/>
        <v>Consistent</v>
      </c>
      <c r="AP236" s="497" t="str">
        <f t="shared" si="280"/>
        <v>Consistent</v>
      </c>
      <c r="AQ236" s="497" t="str">
        <f t="shared" si="280"/>
        <v>Consistent</v>
      </c>
      <c r="AR236" s="497" t="str">
        <f t="shared" si="280"/>
        <v>Consistent</v>
      </c>
      <c r="AS236" s="497" t="str">
        <f t="shared" si="280"/>
        <v>Consistent</v>
      </c>
      <c r="AT236" s="497" t="str">
        <f t="shared" si="280"/>
        <v>Consistent</v>
      </c>
      <c r="AU236" s="497" t="str">
        <f t="shared" si="280"/>
        <v>Consistent</v>
      </c>
      <c r="AV236" s="497" t="str">
        <f t="shared" si="280"/>
        <v>Consistent</v>
      </c>
      <c r="AW236" s="497" t="str">
        <f t="shared" si="280"/>
        <v>Consistent</v>
      </c>
      <c r="AX236" s="497" t="str">
        <f t="shared" si="280"/>
        <v>Consistent</v>
      </c>
      <c r="AY236" s="497" t="str">
        <f t="shared" si="280"/>
        <v>Consistent</v>
      </c>
      <c r="AZ236" s="497" t="str">
        <f t="shared" si="280"/>
        <v>Consistent</v>
      </c>
      <c r="BA236" s="497" t="str">
        <f t="shared" si="280"/>
        <v>Consistent</v>
      </c>
      <c r="BB236" s="497" t="str">
        <f t="shared" si="280"/>
        <v>Consistent</v>
      </c>
      <c r="BC236" s="497" t="str">
        <f t="shared" si="280"/>
        <v>Consistent</v>
      </c>
      <c r="BD236" s="497" t="str">
        <f t="shared" si="280"/>
        <v>Consistent</v>
      </c>
      <c r="BE236" s="497" t="str">
        <f t="shared" si="280"/>
        <v>Consistent</v>
      </c>
      <c r="BF236" s="497" t="str">
        <f t="shared" si="280"/>
        <v>Consistent</v>
      </c>
      <c r="BG236" s="497" t="str">
        <f t="shared" si="280"/>
        <v>Consistent</v>
      </c>
      <c r="BH236" s="497" t="str">
        <f t="shared" si="280"/>
        <v>Consistent</v>
      </c>
      <c r="BI236" s="497" t="str">
        <f t="shared" si="280"/>
        <v>Consistent</v>
      </c>
      <c r="BJ236" s="497" t="str">
        <f t="shared" si="280"/>
        <v>Consistent</v>
      </c>
      <c r="BK236" s="497" t="str">
        <f t="shared" si="280"/>
        <v>Consistent</v>
      </c>
      <c r="BL236" s="497" t="str">
        <f t="shared" si="280"/>
        <v>Consistent</v>
      </c>
      <c r="BM236" s="497" t="str">
        <f t="shared" si="280"/>
        <v>Consistent</v>
      </c>
      <c r="BN236" s="497" t="str">
        <f t="shared" si="280"/>
        <v>Consistent</v>
      </c>
      <c r="BO236" s="497" t="str">
        <f t="shared" ref="BO236:CT236" si="281">IF(SUM(BO219:BO235)=BO153, "Consistent", "Inconsistent")</f>
        <v>Consistent</v>
      </c>
      <c r="BP236" s="497" t="str">
        <f t="shared" si="281"/>
        <v>Consistent</v>
      </c>
      <c r="BQ236" s="497" t="str">
        <f t="shared" si="281"/>
        <v>Consistent</v>
      </c>
      <c r="BR236" s="497" t="str">
        <f t="shared" si="281"/>
        <v>Consistent</v>
      </c>
      <c r="BS236" s="497" t="str">
        <f t="shared" si="281"/>
        <v>Consistent</v>
      </c>
      <c r="BT236" s="497" t="str">
        <f t="shared" si="281"/>
        <v>Consistent</v>
      </c>
      <c r="BU236" s="497" t="str">
        <f t="shared" si="281"/>
        <v>Consistent</v>
      </c>
      <c r="BV236" s="497" t="str">
        <f t="shared" si="281"/>
        <v>Consistent</v>
      </c>
      <c r="BW236" s="497" t="str">
        <f t="shared" si="281"/>
        <v>Consistent</v>
      </c>
      <c r="BX236" s="497" t="str">
        <f t="shared" si="281"/>
        <v>Consistent</v>
      </c>
      <c r="BY236" s="497" t="str">
        <f t="shared" si="281"/>
        <v>Consistent</v>
      </c>
      <c r="BZ236" s="497" t="str">
        <f t="shared" si="281"/>
        <v>Consistent</v>
      </c>
      <c r="CA236" s="497" t="str">
        <f t="shared" si="281"/>
        <v>Consistent</v>
      </c>
      <c r="CB236" s="497" t="str">
        <f t="shared" si="281"/>
        <v>Consistent</v>
      </c>
      <c r="CC236" s="497" t="str">
        <f t="shared" si="281"/>
        <v>Consistent</v>
      </c>
      <c r="CD236" s="497" t="str">
        <f t="shared" si="281"/>
        <v>Consistent</v>
      </c>
      <c r="CE236" s="497" t="str">
        <f t="shared" si="281"/>
        <v>Consistent</v>
      </c>
      <c r="CF236" s="497" t="str">
        <f t="shared" si="281"/>
        <v>Consistent</v>
      </c>
      <c r="CG236" s="497" t="str">
        <f t="shared" si="281"/>
        <v>Consistent</v>
      </c>
      <c r="CH236" s="497" t="str">
        <f t="shared" si="281"/>
        <v>Consistent</v>
      </c>
      <c r="CI236" s="497" t="str">
        <f t="shared" si="281"/>
        <v>Consistent</v>
      </c>
      <c r="CJ236" s="497" t="str">
        <f t="shared" si="281"/>
        <v>Consistent</v>
      </c>
      <c r="CK236" s="497" t="str">
        <f t="shared" si="281"/>
        <v>Consistent</v>
      </c>
      <c r="CL236" s="497" t="str">
        <f t="shared" si="281"/>
        <v>Consistent</v>
      </c>
      <c r="CM236" s="497" t="str">
        <f t="shared" si="281"/>
        <v>Consistent</v>
      </c>
      <c r="CN236" s="497" t="str">
        <f t="shared" si="281"/>
        <v>Consistent</v>
      </c>
      <c r="CO236" s="497" t="str">
        <f t="shared" si="281"/>
        <v>Consistent</v>
      </c>
      <c r="CP236" s="497" t="str">
        <f t="shared" si="281"/>
        <v>Consistent</v>
      </c>
      <c r="CQ236" s="497" t="str">
        <f t="shared" si="281"/>
        <v>Consistent</v>
      </c>
      <c r="CR236" s="497" t="str">
        <f t="shared" si="281"/>
        <v>Consistent</v>
      </c>
      <c r="CS236" s="497" t="str">
        <f t="shared" si="281"/>
        <v>Consistent</v>
      </c>
      <c r="CT236" s="497" t="str">
        <f t="shared" si="281"/>
        <v>Consistent</v>
      </c>
      <c r="CU236" s="497" t="str">
        <f t="shared" ref="CU236:DZ236" si="282">IF(SUM(CU219:CU235)=CU153, "Consistent", "Inconsistent")</f>
        <v>Consistent</v>
      </c>
      <c r="CV236" s="497" t="str">
        <f t="shared" si="282"/>
        <v>Consistent</v>
      </c>
      <c r="CW236" s="497" t="str">
        <f t="shared" si="282"/>
        <v>Consistent</v>
      </c>
      <c r="CX236" s="497" t="str">
        <f t="shared" si="282"/>
        <v>Consistent</v>
      </c>
      <c r="CY236" s="497" t="str">
        <f t="shared" si="282"/>
        <v>Consistent</v>
      </c>
      <c r="CZ236" s="497" t="str">
        <f t="shared" si="282"/>
        <v>Consistent</v>
      </c>
      <c r="DA236" s="497" t="str">
        <f t="shared" si="282"/>
        <v>Consistent</v>
      </c>
      <c r="DB236" s="497" t="str">
        <f t="shared" si="282"/>
        <v>Consistent</v>
      </c>
      <c r="DC236" s="497" t="str">
        <f t="shared" si="282"/>
        <v>Consistent</v>
      </c>
      <c r="DD236" s="497" t="str">
        <f t="shared" si="282"/>
        <v>Consistent</v>
      </c>
      <c r="DE236" s="497" t="str">
        <f t="shared" si="282"/>
        <v>Consistent</v>
      </c>
      <c r="DF236" s="497" t="str">
        <f t="shared" si="282"/>
        <v>Consistent</v>
      </c>
      <c r="DG236" s="497" t="str">
        <f t="shared" si="282"/>
        <v>Consistent</v>
      </c>
      <c r="DH236" s="497" t="str">
        <f t="shared" si="282"/>
        <v>Consistent</v>
      </c>
      <c r="DI236" s="497" t="str">
        <f t="shared" si="282"/>
        <v>Consistent</v>
      </c>
      <c r="DJ236" s="497" t="str">
        <f t="shared" si="282"/>
        <v>Consistent</v>
      </c>
      <c r="DK236" s="497" t="str">
        <f t="shared" si="282"/>
        <v>Consistent</v>
      </c>
      <c r="DL236" s="497" t="str">
        <f t="shared" si="282"/>
        <v>Consistent</v>
      </c>
      <c r="DM236" s="497" t="str">
        <f t="shared" si="282"/>
        <v>Consistent</v>
      </c>
      <c r="DN236" s="497" t="str">
        <f t="shared" si="282"/>
        <v>Consistent</v>
      </c>
      <c r="DO236" s="497" t="str">
        <f t="shared" si="282"/>
        <v>Consistent</v>
      </c>
      <c r="DP236" s="497" t="str">
        <f t="shared" si="282"/>
        <v>Consistent</v>
      </c>
      <c r="DQ236" s="497" t="str">
        <f t="shared" si="282"/>
        <v>Consistent</v>
      </c>
      <c r="DR236" s="497" t="str">
        <f t="shared" si="282"/>
        <v>Consistent</v>
      </c>
      <c r="DS236" s="497" t="str">
        <f t="shared" si="282"/>
        <v>Consistent</v>
      </c>
      <c r="DT236" s="497" t="str">
        <f t="shared" si="282"/>
        <v>Consistent</v>
      </c>
      <c r="DU236" s="497" t="str">
        <f t="shared" si="282"/>
        <v>Consistent</v>
      </c>
      <c r="DV236" s="497" t="str">
        <f t="shared" si="282"/>
        <v>Consistent</v>
      </c>
      <c r="DW236" s="497" t="str">
        <f t="shared" si="282"/>
        <v>Consistent</v>
      </c>
      <c r="DX236" s="497" t="str">
        <f t="shared" si="282"/>
        <v>Consistent</v>
      </c>
      <c r="DY236" s="497" t="str">
        <f t="shared" si="282"/>
        <v>Consistent</v>
      </c>
      <c r="DZ236" s="497" t="str">
        <f t="shared" si="282"/>
        <v>Consistent</v>
      </c>
      <c r="EA236" s="497" t="str">
        <f t="shared" ref="EA236:EI236" si="283">IF(SUM(EA219:EA235)=EA153, "Consistent", "Inconsistent")</f>
        <v>Consistent</v>
      </c>
      <c r="EB236" s="497" t="str">
        <f t="shared" si="283"/>
        <v>Consistent</v>
      </c>
      <c r="EC236" s="497" t="str">
        <f t="shared" si="283"/>
        <v>Consistent</v>
      </c>
      <c r="ED236" s="497" t="str">
        <f t="shared" si="283"/>
        <v>Consistent</v>
      </c>
      <c r="EE236" s="497" t="str">
        <f t="shared" si="283"/>
        <v>Consistent</v>
      </c>
      <c r="EF236" s="497" t="str">
        <f t="shared" si="283"/>
        <v>Consistent</v>
      </c>
      <c r="EG236" s="497" t="str">
        <f t="shared" si="283"/>
        <v>Consistent</v>
      </c>
      <c r="EH236" s="497" t="str">
        <f t="shared" si="283"/>
        <v>Consistent</v>
      </c>
      <c r="EI236" s="497" t="str">
        <f t="shared" si="283"/>
        <v>Consistent</v>
      </c>
      <c r="EJ236" s="496">
        <f>SUM(EJ219:EJ235)</f>
        <v>952621128.15566683</v>
      </c>
    </row>
    <row r="237" spans="1:156"/>
    <row r="238" spans="1:156" ht="15.6">
      <c r="A238" s="99"/>
      <c r="B238" s="503" t="s">
        <v>66</v>
      </c>
      <c r="C238" s="99"/>
      <c r="D238" s="99"/>
      <c r="E238" s="99"/>
      <c r="F238" s="99"/>
      <c r="G238" s="99"/>
      <c r="H238" s="99"/>
      <c r="I238" s="99"/>
      <c r="J238" s="99"/>
      <c r="K238" s="99"/>
      <c r="L238" s="99"/>
      <c r="M238" s="99"/>
      <c r="N238" s="99"/>
      <c r="O238" s="99"/>
      <c r="P238" s="99"/>
      <c r="Q238" s="99"/>
      <c r="R238" s="99"/>
      <c r="S238" s="99"/>
      <c r="T238" s="99"/>
      <c r="U238" s="99"/>
      <c r="V238" s="99"/>
      <c r="W238" s="99"/>
      <c r="X238" s="99"/>
      <c r="Y238" s="99"/>
      <c r="Z238" s="99"/>
      <c r="AA238" s="99"/>
      <c r="AB238" s="99"/>
      <c r="AC238" s="99"/>
      <c r="AD238" s="99"/>
      <c r="AE238" s="99"/>
      <c r="AF238" s="99"/>
      <c r="AG238" s="99"/>
      <c r="AH238" s="99"/>
      <c r="AI238" s="99"/>
      <c r="AJ238" s="99"/>
      <c r="AK238" s="99"/>
      <c r="AL238" s="99"/>
      <c r="AM238" s="99"/>
      <c r="AN238" s="99"/>
      <c r="AO238" s="99"/>
      <c r="AP238" s="99"/>
      <c r="AQ238" s="99"/>
      <c r="AR238" s="99"/>
      <c r="AS238" s="99"/>
      <c r="AT238" s="99"/>
      <c r="AU238" s="99"/>
      <c r="AV238" s="99"/>
      <c r="AW238" s="99"/>
      <c r="AX238" s="99"/>
      <c r="AY238" s="99"/>
      <c r="AZ238" s="99"/>
      <c r="BA238" s="99"/>
      <c r="BB238" s="99"/>
      <c r="BC238" s="99"/>
      <c r="BD238" s="99"/>
      <c r="BE238" s="99"/>
      <c r="BF238" s="99"/>
      <c r="BG238" s="99"/>
      <c r="BH238" s="99"/>
      <c r="BI238" s="99"/>
      <c r="BJ238" s="99"/>
      <c r="BK238" s="99"/>
      <c r="BL238" s="99"/>
      <c r="BM238" s="99"/>
      <c r="BN238" s="99"/>
      <c r="BO238" s="99"/>
      <c r="BP238" s="99"/>
      <c r="BQ238" s="99"/>
      <c r="BR238" s="99"/>
      <c r="BS238" s="99"/>
      <c r="BT238" s="99"/>
      <c r="BU238" s="99"/>
      <c r="BV238" s="99"/>
      <c r="BW238" s="99"/>
      <c r="BX238" s="99"/>
      <c r="BY238" s="99"/>
      <c r="BZ238" s="99"/>
      <c r="CA238" s="99"/>
      <c r="CB238" s="99"/>
      <c r="CC238" s="99"/>
      <c r="CD238" s="99"/>
      <c r="CE238" s="99"/>
      <c r="CF238" s="99"/>
      <c r="CG238" s="99"/>
      <c r="CH238" s="99"/>
      <c r="CI238" s="99"/>
      <c r="CJ238" s="99"/>
      <c r="CK238" s="99"/>
      <c r="CL238" s="99"/>
      <c r="CM238" s="99"/>
      <c r="CN238" s="99"/>
      <c r="CO238" s="99"/>
      <c r="CP238" s="99"/>
      <c r="CQ238" s="99"/>
      <c r="CR238" s="99"/>
      <c r="CS238" s="99"/>
      <c r="CT238" s="99"/>
      <c r="CU238" s="99"/>
      <c r="CV238" s="99"/>
      <c r="CW238" s="99"/>
      <c r="CX238" s="99"/>
      <c r="CY238" s="99"/>
      <c r="CZ238" s="99"/>
      <c r="DA238" s="99"/>
      <c r="DB238" s="99"/>
      <c r="DC238" s="99"/>
      <c r="DD238" s="99"/>
      <c r="DE238" s="99"/>
      <c r="DF238" s="99"/>
      <c r="DG238" s="99"/>
      <c r="DH238" s="99"/>
      <c r="DI238" s="99"/>
      <c r="DJ238" s="99"/>
      <c r="DK238" s="99"/>
      <c r="DL238" s="99"/>
      <c r="DM238" s="99"/>
      <c r="DN238" s="99"/>
      <c r="DO238" s="99"/>
      <c r="DP238" s="99"/>
      <c r="DQ238" s="99"/>
      <c r="DR238" s="99"/>
      <c r="DS238" s="99"/>
      <c r="DT238" s="99"/>
      <c r="DU238" s="99"/>
      <c r="DV238" s="99"/>
      <c r="DW238" s="99"/>
      <c r="DX238" s="99"/>
      <c r="DY238" s="99"/>
      <c r="DZ238" s="99"/>
      <c r="EA238" s="99"/>
      <c r="EB238" s="99"/>
      <c r="EC238" s="99"/>
      <c r="ED238" s="99"/>
      <c r="EE238" s="99"/>
      <c r="EF238" s="99"/>
      <c r="EG238" s="99"/>
      <c r="EH238" s="99"/>
      <c r="EI238" s="99"/>
      <c r="EJ238" s="99"/>
      <c r="EK238" s="67"/>
      <c r="EL238" s="67"/>
      <c r="EM238" s="67"/>
      <c r="EN238" s="67"/>
      <c r="EO238" s="67"/>
      <c r="EP238" s="67"/>
      <c r="EQ238" s="67"/>
      <c r="ER238" s="67"/>
      <c r="ES238" s="67"/>
      <c r="ET238" s="67"/>
      <c r="EU238" s="67"/>
      <c r="EV238" s="67"/>
      <c r="EW238" s="67"/>
      <c r="EX238" s="67"/>
      <c r="EY238" s="67"/>
      <c r="EZ238" s="67"/>
    </row>
    <row r="239" spans="1:156">
      <c r="B239" s="500" t="s">
        <v>98</v>
      </c>
      <c r="C239" s="499" t="str">
        <f t="shared" ref="C239:AH239" si="284">IF(C159=1, C$154/C$156, "")</f>
        <v/>
      </c>
      <c r="D239" s="499">
        <f t="shared" si="284"/>
        <v>68070</v>
      </c>
      <c r="E239" s="499">
        <f t="shared" si="284"/>
        <v>100110.5</v>
      </c>
      <c r="F239" s="499">
        <f t="shared" si="284"/>
        <v>688.66666666666663</v>
      </c>
      <c r="G239" s="499" t="str">
        <f t="shared" si="284"/>
        <v/>
      </c>
      <c r="H239" s="499">
        <f t="shared" si="284"/>
        <v>0</v>
      </c>
      <c r="I239" s="499">
        <f t="shared" si="284"/>
        <v>27714.333333333332</v>
      </c>
      <c r="J239" s="499">
        <f t="shared" si="284"/>
        <v>14224.333333333334</v>
      </c>
      <c r="K239" s="499" t="str">
        <f t="shared" si="284"/>
        <v/>
      </c>
      <c r="L239" s="499" t="str">
        <f t="shared" si="284"/>
        <v/>
      </c>
      <c r="M239" s="499">
        <f t="shared" si="284"/>
        <v>292666.5</v>
      </c>
      <c r="N239" s="499" t="str">
        <f t="shared" si="284"/>
        <v/>
      </c>
      <c r="O239" s="499" t="str">
        <f t="shared" si="284"/>
        <v/>
      </c>
      <c r="P239" s="499" t="str">
        <f t="shared" si="284"/>
        <v/>
      </c>
      <c r="Q239" s="499" t="str">
        <f t="shared" si="284"/>
        <v/>
      </c>
      <c r="R239" s="499">
        <f t="shared" si="284"/>
        <v>1323550.7949999999</v>
      </c>
      <c r="S239" s="499" t="str">
        <f t="shared" si="284"/>
        <v/>
      </c>
      <c r="T239" s="499" t="str">
        <f t="shared" si="284"/>
        <v/>
      </c>
      <c r="U239" s="499" t="str">
        <f t="shared" si="284"/>
        <v/>
      </c>
      <c r="V239" s="499" t="str">
        <f t="shared" si="284"/>
        <v/>
      </c>
      <c r="W239" s="499">
        <f t="shared" si="284"/>
        <v>10000</v>
      </c>
      <c r="X239" s="499">
        <f t="shared" si="284"/>
        <v>1531250</v>
      </c>
      <c r="Y239" s="499">
        <f t="shared" si="284"/>
        <v>9889.6666666666661</v>
      </c>
      <c r="Z239" s="499" t="str">
        <f t="shared" si="284"/>
        <v/>
      </c>
      <c r="AA239" s="499" t="str">
        <f t="shared" si="284"/>
        <v/>
      </c>
      <c r="AB239" s="499" t="str">
        <f t="shared" si="284"/>
        <v/>
      </c>
      <c r="AC239" s="499" t="str">
        <f t="shared" si="284"/>
        <v/>
      </c>
      <c r="AD239" s="499" t="str">
        <f t="shared" si="284"/>
        <v/>
      </c>
      <c r="AE239" s="499" t="str">
        <f t="shared" si="284"/>
        <v/>
      </c>
      <c r="AF239" s="499" t="str">
        <f t="shared" si="284"/>
        <v/>
      </c>
      <c r="AG239" s="499" t="str">
        <f t="shared" si="284"/>
        <v/>
      </c>
      <c r="AH239" s="499">
        <f t="shared" si="284"/>
        <v>0</v>
      </c>
      <c r="AI239" s="499" t="str">
        <f t="shared" ref="AI239:BN239" si="285">IF(AI159=1, AI$154/AI$156, "")</f>
        <v/>
      </c>
      <c r="AJ239" s="499">
        <f t="shared" si="285"/>
        <v>406310.09428571432</v>
      </c>
      <c r="AK239" s="499" t="str">
        <f t="shared" si="285"/>
        <v/>
      </c>
      <c r="AL239" s="499" t="str">
        <f t="shared" si="285"/>
        <v/>
      </c>
      <c r="AM239" s="499" t="str">
        <f t="shared" si="285"/>
        <v/>
      </c>
      <c r="AN239" s="499">
        <f t="shared" si="285"/>
        <v>74595.47714285714</v>
      </c>
      <c r="AO239" s="499" t="str">
        <f t="shared" si="285"/>
        <v/>
      </c>
      <c r="AP239" s="499" t="str">
        <f t="shared" si="285"/>
        <v/>
      </c>
      <c r="AQ239" s="499" t="str">
        <f t="shared" si="285"/>
        <v/>
      </c>
      <c r="AR239" s="499" t="str">
        <f t="shared" si="285"/>
        <v/>
      </c>
      <c r="AS239" s="499" t="str">
        <f t="shared" si="285"/>
        <v/>
      </c>
      <c r="AT239" s="499" t="str">
        <f t="shared" si="285"/>
        <v/>
      </c>
      <c r="AU239" s="499" t="str">
        <f t="shared" si="285"/>
        <v/>
      </c>
      <c r="AV239" s="499" t="str">
        <f t="shared" si="285"/>
        <v/>
      </c>
      <c r="AW239" s="499">
        <f t="shared" si="285"/>
        <v>1000</v>
      </c>
      <c r="AX239" s="499" t="str">
        <f t="shared" si="285"/>
        <v/>
      </c>
      <c r="AY239" s="499">
        <f t="shared" si="285"/>
        <v>183383.0625</v>
      </c>
      <c r="AZ239" s="499">
        <f t="shared" si="285"/>
        <v>45282.285714285717</v>
      </c>
      <c r="BA239" s="499">
        <f t="shared" si="285"/>
        <v>1250</v>
      </c>
      <c r="BB239" s="499">
        <f t="shared" si="285"/>
        <v>22732.6875</v>
      </c>
      <c r="BC239" s="499" t="str">
        <f t="shared" si="285"/>
        <v/>
      </c>
      <c r="BD239" s="499" t="str">
        <f t="shared" si="285"/>
        <v/>
      </c>
      <c r="BE239" s="499" t="str">
        <f t="shared" si="285"/>
        <v/>
      </c>
      <c r="BF239" s="499" t="str">
        <f t="shared" si="285"/>
        <v/>
      </c>
      <c r="BG239" s="499" t="str">
        <f t="shared" si="285"/>
        <v/>
      </c>
      <c r="BH239" s="499" t="str">
        <f t="shared" si="285"/>
        <v/>
      </c>
      <c r="BI239" s="499" t="str">
        <f t="shared" si="285"/>
        <v/>
      </c>
      <c r="BJ239" s="499" t="str">
        <f t="shared" si="285"/>
        <v/>
      </c>
      <c r="BK239" s="499">
        <f t="shared" si="285"/>
        <v>312333.33333333331</v>
      </c>
      <c r="BL239" s="499" t="str">
        <f t="shared" si="285"/>
        <v/>
      </c>
      <c r="BM239" s="499" t="str">
        <f t="shared" si="285"/>
        <v/>
      </c>
      <c r="BN239" s="499" t="str">
        <f t="shared" si="285"/>
        <v/>
      </c>
      <c r="BO239" s="499" t="str">
        <f t="shared" ref="BO239:CT239" si="286">IF(BO159=1, BO$154/BO$156, "")</f>
        <v/>
      </c>
      <c r="BP239" s="499">
        <f t="shared" si="286"/>
        <v>187975</v>
      </c>
      <c r="BQ239" s="499" t="str">
        <f t="shared" si="286"/>
        <v/>
      </c>
      <c r="BR239" s="499" t="str">
        <f t="shared" si="286"/>
        <v/>
      </c>
      <c r="BS239" s="499" t="str">
        <f t="shared" si="286"/>
        <v/>
      </c>
      <c r="BT239" s="499">
        <f t="shared" si="286"/>
        <v>0</v>
      </c>
      <c r="BU239" s="499" t="str">
        <f t="shared" si="286"/>
        <v/>
      </c>
      <c r="BV239" s="499" t="str">
        <f t="shared" si="286"/>
        <v/>
      </c>
      <c r="BW239" s="499" t="str">
        <f t="shared" si="286"/>
        <v/>
      </c>
      <c r="BX239" s="499" t="str">
        <f t="shared" si="286"/>
        <v/>
      </c>
      <c r="BY239" s="499">
        <f t="shared" si="286"/>
        <v>1333.3333333333333</v>
      </c>
      <c r="BZ239" s="499" t="str">
        <f t="shared" si="286"/>
        <v/>
      </c>
      <c r="CA239" s="499" t="str">
        <f t="shared" si="286"/>
        <v/>
      </c>
      <c r="CB239" s="499">
        <f t="shared" si="286"/>
        <v>15235.952380952382</v>
      </c>
      <c r="CC239" s="499" t="str">
        <f t="shared" si="286"/>
        <v/>
      </c>
      <c r="CD239" s="499" t="str">
        <f t="shared" si="286"/>
        <v/>
      </c>
      <c r="CE239" s="499" t="str">
        <f t="shared" si="286"/>
        <v/>
      </c>
      <c r="CF239" s="499" t="str">
        <f t="shared" si="286"/>
        <v/>
      </c>
      <c r="CG239" s="499" t="str">
        <f t="shared" si="286"/>
        <v/>
      </c>
      <c r="CH239" s="499" t="str">
        <f t="shared" si="286"/>
        <v/>
      </c>
      <c r="CI239" s="499" t="str">
        <f t="shared" si="286"/>
        <v/>
      </c>
      <c r="CJ239" s="499">
        <f t="shared" si="286"/>
        <v>0</v>
      </c>
      <c r="CK239" s="499">
        <f t="shared" si="286"/>
        <v>287894.55555555556</v>
      </c>
      <c r="CL239" s="499" t="str">
        <f t="shared" si="286"/>
        <v/>
      </c>
      <c r="CM239" s="499" t="str">
        <f t="shared" si="286"/>
        <v/>
      </c>
      <c r="CN239" s="499" t="str">
        <f t="shared" si="286"/>
        <v/>
      </c>
      <c r="CO239" s="499" t="str">
        <f t="shared" si="286"/>
        <v/>
      </c>
      <c r="CP239" s="499">
        <f t="shared" si="286"/>
        <v>684050</v>
      </c>
      <c r="CQ239" s="499" t="str">
        <f t="shared" si="286"/>
        <v/>
      </c>
      <c r="CR239" s="499" t="str">
        <f t="shared" si="286"/>
        <v/>
      </c>
      <c r="CS239" s="499" t="str">
        <f t="shared" si="286"/>
        <v/>
      </c>
      <c r="CT239" s="499">
        <f t="shared" si="286"/>
        <v>75000</v>
      </c>
      <c r="CU239" s="499" t="str">
        <f t="shared" ref="CU239:DZ239" si="287">IF(CU159=1, CU$154/CU$156, "")</f>
        <v/>
      </c>
      <c r="CV239" s="499">
        <f t="shared" si="287"/>
        <v>5759.125</v>
      </c>
      <c r="CW239" s="499" t="str">
        <f t="shared" si="287"/>
        <v/>
      </c>
      <c r="CX239" s="499">
        <f t="shared" si="287"/>
        <v>31072.777000000002</v>
      </c>
      <c r="CY239" s="499">
        <f t="shared" si="287"/>
        <v>2043</v>
      </c>
      <c r="CZ239" s="499">
        <f t="shared" si="287"/>
        <v>2435.6666666666665</v>
      </c>
      <c r="DA239" s="499">
        <f t="shared" si="287"/>
        <v>0</v>
      </c>
      <c r="DB239" s="499" t="str">
        <f t="shared" si="287"/>
        <v/>
      </c>
      <c r="DC239" s="499">
        <f t="shared" si="287"/>
        <v>232699.375</v>
      </c>
      <c r="DD239" s="499">
        <f t="shared" si="287"/>
        <v>1628071</v>
      </c>
      <c r="DE239" s="499">
        <f t="shared" si="287"/>
        <v>0</v>
      </c>
      <c r="DF239" s="499" t="str">
        <f t="shared" si="287"/>
        <v/>
      </c>
      <c r="DG239" s="499" t="str">
        <f t="shared" si="287"/>
        <v/>
      </c>
      <c r="DH239" s="499">
        <f t="shared" si="287"/>
        <v>3018.8095714285714</v>
      </c>
      <c r="DI239" s="499" t="str">
        <f t="shared" si="287"/>
        <v/>
      </c>
      <c r="DJ239" s="499" t="str">
        <f t="shared" si="287"/>
        <v/>
      </c>
      <c r="DK239" s="499">
        <f t="shared" si="287"/>
        <v>250</v>
      </c>
      <c r="DL239" s="499" t="str">
        <f t="shared" si="287"/>
        <v/>
      </c>
      <c r="DM239" s="499" t="str">
        <f t="shared" si="287"/>
        <v/>
      </c>
      <c r="DN239" s="499" t="str">
        <f t="shared" si="287"/>
        <v/>
      </c>
      <c r="DO239" s="499" t="str">
        <f t="shared" si="287"/>
        <v/>
      </c>
      <c r="DP239" s="499" t="str">
        <f t="shared" si="287"/>
        <v/>
      </c>
      <c r="DQ239" s="499" t="str">
        <f t="shared" si="287"/>
        <v/>
      </c>
      <c r="DR239" s="499">
        <f t="shared" si="287"/>
        <v>132087.5</v>
      </c>
      <c r="DS239" s="499">
        <f t="shared" si="287"/>
        <v>332250</v>
      </c>
      <c r="DT239" s="499" t="str">
        <f t="shared" si="287"/>
        <v/>
      </c>
      <c r="DU239" s="499" t="str">
        <f t="shared" si="287"/>
        <v/>
      </c>
      <c r="DV239" s="499" t="str">
        <f t="shared" si="287"/>
        <v/>
      </c>
      <c r="DW239" s="499" t="str">
        <f t="shared" si="287"/>
        <v/>
      </c>
      <c r="DX239" s="499">
        <f t="shared" si="287"/>
        <v>5165839</v>
      </c>
      <c r="DY239" s="499" t="str">
        <f t="shared" si="287"/>
        <v/>
      </c>
      <c r="DZ239" s="499" t="str">
        <f t="shared" si="287"/>
        <v/>
      </c>
      <c r="EA239" s="499" t="str">
        <f t="shared" ref="EA239:EI239" si="288">IF(EA159=1, EA$154/EA$156, "")</f>
        <v/>
      </c>
      <c r="EB239" s="499" t="str">
        <f t="shared" si="288"/>
        <v/>
      </c>
      <c r="EC239" s="499" t="str">
        <f t="shared" si="288"/>
        <v/>
      </c>
      <c r="ED239" s="499" t="str">
        <f t="shared" si="288"/>
        <v/>
      </c>
      <c r="EE239" s="499">
        <f t="shared" si="288"/>
        <v>2612500</v>
      </c>
      <c r="EF239" s="499" t="str">
        <f t="shared" si="288"/>
        <v/>
      </c>
      <c r="EG239" s="499" t="str">
        <f t="shared" si="288"/>
        <v/>
      </c>
      <c r="EH239" s="499" t="str">
        <f t="shared" si="288"/>
        <v/>
      </c>
      <c r="EI239" s="499" t="str">
        <f t="shared" si="288"/>
        <v/>
      </c>
      <c r="EJ239" s="499">
        <f t="shared" ref="EJ239:EJ255" si="289">SUM(C239:EI239)</f>
        <v>15824566.829984127</v>
      </c>
      <c r="EK239" s="67"/>
      <c r="EL239" s="67"/>
      <c r="EM239" s="67"/>
      <c r="EN239" s="67"/>
      <c r="EO239" s="67"/>
      <c r="EP239" s="67"/>
      <c r="EQ239" s="67"/>
      <c r="ER239" s="67"/>
      <c r="ES239" s="67"/>
      <c r="ET239" s="67"/>
      <c r="EU239" s="67"/>
      <c r="EV239" s="67"/>
      <c r="EW239" s="67"/>
      <c r="EX239" s="67"/>
      <c r="EY239" s="67"/>
      <c r="EZ239" s="67"/>
    </row>
    <row r="240" spans="1:156">
      <c r="B240" s="500" t="s">
        <v>92</v>
      </c>
      <c r="C240" s="499">
        <f t="shared" ref="C240:AH240" si="290">IF(C160=1, C$154/C$156, "")</f>
        <v>75000</v>
      </c>
      <c r="D240" s="499" t="str">
        <f t="shared" si="290"/>
        <v/>
      </c>
      <c r="E240" s="499" t="str">
        <f t="shared" si="290"/>
        <v/>
      </c>
      <c r="F240" s="499">
        <f t="shared" si="290"/>
        <v>688.66666666666663</v>
      </c>
      <c r="G240" s="499" t="str">
        <f t="shared" si="290"/>
        <v/>
      </c>
      <c r="H240" s="499">
        <f t="shared" si="290"/>
        <v>0</v>
      </c>
      <c r="I240" s="499">
        <f t="shared" si="290"/>
        <v>27714.333333333332</v>
      </c>
      <c r="J240" s="499">
        <f t="shared" si="290"/>
        <v>14224.333333333334</v>
      </c>
      <c r="K240" s="499" t="str">
        <f t="shared" si="290"/>
        <v/>
      </c>
      <c r="L240" s="499" t="str">
        <f t="shared" si="290"/>
        <v/>
      </c>
      <c r="M240" s="499" t="str">
        <f t="shared" si="290"/>
        <v/>
      </c>
      <c r="N240" s="499" t="str">
        <f t="shared" si="290"/>
        <v/>
      </c>
      <c r="O240" s="499" t="str">
        <f t="shared" si="290"/>
        <v/>
      </c>
      <c r="P240" s="499" t="str">
        <f t="shared" si="290"/>
        <v/>
      </c>
      <c r="Q240" s="499" t="str">
        <f t="shared" si="290"/>
        <v/>
      </c>
      <c r="R240" s="499">
        <f t="shared" si="290"/>
        <v>1323550.7949999999</v>
      </c>
      <c r="S240" s="499" t="str">
        <f t="shared" si="290"/>
        <v/>
      </c>
      <c r="T240" s="499" t="str">
        <f t="shared" si="290"/>
        <v/>
      </c>
      <c r="U240" s="499" t="str">
        <f t="shared" si="290"/>
        <v/>
      </c>
      <c r="V240" s="499" t="str">
        <f t="shared" si="290"/>
        <v/>
      </c>
      <c r="W240" s="499">
        <f t="shared" si="290"/>
        <v>10000</v>
      </c>
      <c r="X240" s="499">
        <f t="shared" si="290"/>
        <v>1531250</v>
      </c>
      <c r="Y240" s="499">
        <f t="shared" si="290"/>
        <v>9889.6666666666661</v>
      </c>
      <c r="Z240" s="499" t="str">
        <f t="shared" si="290"/>
        <v/>
      </c>
      <c r="AA240" s="499" t="str">
        <f t="shared" si="290"/>
        <v/>
      </c>
      <c r="AB240" s="499" t="str">
        <f t="shared" si="290"/>
        <v/>
      </c>
      <c r="AC240" s="499">
        <f t="shared" si="290"/>
        <v>244200</v>
      </c>
      <c r="AD240" s="499" t="str">
        <f t="shared" si="290"/>
        <v/>
      </c>
      <c r="AE240" s="499" t="str">
        <f t="shared" si="290"/>
        <v/>
      </c>
      <c r="AF240" s="499" t="str">
        <f t="shared" si="290"/>
        <v/>
      </c>
      <c r="AG240" s="499" t="str">
        <f t="shared" si="290"/>
        <v/>
      </c>
      <c r="AH240" s="499">
        <f t="shared" si="290"/>
        <v>0</v>
      </c>
      <c r="AI240" s="499" t="str">
        <f t="shared" ref="AI240:BN240" si="291">IF(AI160=1, AI$154/AI$156, "")</f>
        <v/>
      </c>
      <c r="AJ240" s="499">
        <f t="shared" si="291"/>
        <v>406310.09428571432</v>
      </c>
      <c r="AK240" s="499" t="str">
        <f t="shared" si="291"/>
        <v/>
      </c>
      <c r="AL240" s="499" t="str">
        <f t="shared" si="291"/>
        <v/>
      </c>
      <c r="AM240" s="499" t="str">
        <f t="shared" si="291"/>
        <v/>
      </c>
      <c r="AN240" s="499">
        <f t="shared" si="291"/>
        <v>74595.47714285714</v>
      </c>
      <c r="AO240" s="499" t="str">
        <f t="shared" si="291"/>
        <v/>
      </c>
      <c r="AP240" s="499" t="str">
        <f t="shared" si="291"/>
        <v/>
      </c>
      <c r="AQ240" s="499" t="str">
        <f t="shared" si="291"/>
        <v/>
      </c>
      <c r="AR240" s="499" t="str">
        <f t="shared" si="291"/>
        <v/>
      </c>
      <c r="AS240" s="499" t="str">
        <f t="shared" si="291"/>
        <v/>
      </c>
      <c r="AT240" s="499" t="str">
        <f t="shared" si="291"/>
        <v/>
      </c>
      <c r="AU240" s="499" t="str">
        <f t="shared" si="291"/>
        <v/>
      </c>
      <c r="AV240" s="499" t="str">
        <f t="shared" si="291"/>
        <v/>
      </c>
      <c r="AW240" s="499" t="str">
        <f t="shared" si="291"/>
        <v/>
      </c>
      <c r="AX240" s="499" t="str">
        <f t="shared" si="291"/>
        <v/>
      </c>
      <c r="AY240" s="499">
        <f t="shared" si="291"/>
        <v>183383.0625</v>
      </c>
      <c r="AZ240" s="499">
        <f t="shared" si="291"/>
        <v>45282.285714285717</v>
      </c>
      <c r="BA240" s="499">
        <f t="shared" si="291"/>
        <v>1250</v>
      </c>
      <c r="BB240" s="499">
        <f t="shared" si="291"/>
        <v>22732.6875</v>
      </c>
      <c r="BC240" s="499" t="str">
        <f t="shared" si="291"/>
        <v/>
      </c>
      <c r="BD240" s="499" t="str">
        <f t="shared" si="291"/>
        <v/>
      </c>
      <c r="BE240" s="499">
        <f t="shared" si="291"/>
        <v>8400</v>
      </c>
      <c r="BF240" s="499" t="str">
        <f t="shared" si="291"/>
        <v/>
      </c>
      <c r="BG240" s="499">
        <f t="shared" si="291"/>
        <v>504875</v>
      </c>
      <c r="BH240" s="499" t="str">
        <f t="shared" si="291"/>
        <v/>
      </c>
      <c r="BI240" s="499" t="str">
        <f t="shared" si="291"/>
        <v/>
      </c>
      <c r="BJ240" s="499" t="str">
        <f t="shared" si="291"/>
        <v/>
      </c>
      <c r="BK240" s="499">
        <f t="shared" si="291"/>
        <v>312333.33333333331</v>
      </c>
      <c r="BL240" s="499" t="str">
        <f t="shared" si="291"/>
        <v/>
      </c>
      <c r="BM240" s="499">
        <f t="shared" si="291"/>
        <v>300000</v>
      </c>
      <c r="BN240" s="499" t="str">
        <f t="shared" si="291"/>
        <v/>
      </c>
      <c r="BO240" s="499" t="str">
        <f t="shared" ref="BO240:CT240" si="292">IF(BO160=1, BO$154/BO$156, "")</f>
        <v/>
      </c>
      <c r="BP240" s="499">
        <f t="shared" si="292"/>
        <v>187975</v>
      </c>
      <c r="BQ240" s="499" t="str">
        <f t="shared" si="292"/>
        <v/>
      </c>
      <c r="BR240" s="499" t="str">
        <f t="shared" si="292"/>
        <v/>
      </c>
      <c r="BS240" s="499" t="str">
        <f t="shared" si="292"/>
        <v/>
      </c>
      <c r="BT240" s="499">
        <f t="shared" si="292"/>
        <v>0</v>
      </c>
      <c r="BU240" s="499" t="str">
        <f t="shared" si="292"/>
        <v/>
      </c>
      <c r="BV240" s="499" t="str">
        <f t="shared" si="292"/>
        <v/>
      </c>
      <c r="BW240" s="499" t="str">
        <f t="shared" si="292"/>
        <v/>
      </c>
      <c r="BX240" s="499" t="str">
        <f t="shared" si="292"/>
        <v/>
      </c>
      <c r="BY240" s="499">
        <f t="shared" si="292"/>
        <v>1333.3333333333333</v>
      </c>
      <c r="BZ240" s="499" t="str">
        <f t="shared" si="292"/>
        <v/>
      </c>
      <c r="CA240" s="499">
        <f t="shared" si="292"/>
        <v>60000</v>
      </c>
      <c r="CB240" s="499">
        <f t="shared" si="292"/>
        <v>15235.952380952382</v>
      </c>
      <c r="CC240" s="499" t="str">
        <f t="shared" si="292"/>
        <v/>
      </c>
      <c r="CD240" s="499" t="str">
        <f t="shared" si="292"/>
        <v/>
      </c>
      <c r="CE240" s="499" t="str">
        <f t="shared" si="292"/>
        <v/>
      </c>
      <c r="CF240" s="499" t="str">
        <f t="shared" si="292"/>
        <v/>
      </c>
      <c r="CG240" s="499" t="str">
        <f t="shared" si="292"/>
        <v/>
      </c>
      <c r="CH240" s="499" t="str">
        <f t="shared" si="292"/>
        <v/>
      </c>
      <c r="CI240" s="499" t="str">
        <f t="shared" si="292"/>
        <v/>
      </c>
      <c r="CJ240" s="499">
        <f t="shared" si="292"/>
        <v>0</v>
      </c>
      <c r="CK240" s="499" t="str">
        <f t="shared" si="292"/>
        <v/>
      </c>
      <c r="CL240" s="499">
        <f t="shared" si="292"/>
        <v>0</v>
      </c>
      <c r="CM240" s="499" t="str">
        <f t="shared" si="292"/>
        <v/>
      </c>
      <c r="CN240" s="499" t="str">
        <f t="shared" si="292"/>
        <v/>
      </c>
      <c r="CO240" s="499" t="str">
        <f t="shared" si="292"/>
        <v/>
      </c>
      <c r="CP240" s="499">
        <f t="shared" si="292"/>
        <v>684050</v>
      </c>
      <c r="CQ240" s="499" t="str">
        <f t="shared" si="292"/>
        <v/>
      </c>
      <c r="CR240" s="499" t="str">
        <f t="shared" si="292"/>
        <v/>
      </c>
      <c r="CS240" s="499" t="str">
        <f t="shared" si="292"/>
        <v/>
      </c>
      <c r="CT240" s="499" t="str">
        <f t="shared" si="292"/>
        <v/>
      </c>
      <c r="CU240" s="499" t="str">
        <f t="shared" ref="CU240:DZ240" si="293">IF(CU160=1, CU$154/CU$156, "")</f>
        <v/>
      </c>
      <c r="CV240" s="499" t="str">
        <f t="shared" si="293"/>
        <v/>
      </c>
      <c r="CW240" s="499" t="str">
        <f t="shared" si="293"/>
        <v/>
      </c>
      <c r="CX240" s="499">
        <f t="shared" si="293"/>
        <v>31072.777000000002</v>
      </c>
      <c r="CY240" s="499">
        <f t="shared" si="293"/>
        <v>2043</v>
      </c>
      <c r="CZ240" s="499">
        <f t="shared" si="293"/>
        <v>2435.6666666666665</v>
      </c>
      <c r="DA240" s="499">
        <f t="shared" si="293"/>
        <v>0</v>
      </c>
      <c r="DB240" s="499" t="str">
        <f t="shared" si="293"/>
        <v/>
      </c>
      <c r="DC240" s="499">
        <f t="shared" si="293"/>
        <v>232699.375</v>
      </c>
      <c r="DD240" s="499" t="str">
        <f t="shared" si="293"/>
        <v/>
      </c>
      <c r="DE240" s="499">
        <f t="shared" si="293"/>
        <v>0</v>
      </c>
      <c r="DF240" s="499" t="str">
        <f t="shared" si="293"/>
        <v/>
      </c>
      <c r="DG240" s="499" t="str">
        <f t="shared" si="293"/>
        <v/>
      </c>
      <c r="DH240" s="499">
        <f t="shared" si="293"/>
        <v>3018.8095714285714</v>
      </c>
      <c r="DI240" s="499" t="str">
        <f t="shared" si="293"/>
        <v/>
      </c>
      <c r="DJ240" s="499" t="str">
        <f t="shared" si="293"/>
        <v/>
      </c>
      <c r="DK240" s="499">
        <f t="shared" si="293"/>
        <v>250</v>
      </c>
      <c r="DL240" s="499" t="str">
        <f t="shared" si="293"/>
        <v/>
      </c>
      <c r="DM240" s="499" t="str">
        <f t="shared" si="293"/>
        <v/>
      </c>
      <c r="DN240" s="499" t="str">
        <f t="shared" si="293"/>
        <v/>
      </c>
      <c r="DO240" s="499" t="str">
        <f t="shared" si="293"/>
        <v/>
      </c>
      <c r="DP240" s="499" t="str">
        <f t="shared" si="293"/>
        <v/>
      </c>
      <c r="DQ240" s="499" t="str">
        <f t="shared" si="293"/>
        <v/>
      </c>
      <c r="DR240" s="499" t="str">
        <f t="shared" si="293"/>
        <v/>
      </c>
      <c r="DS240" s="499" t="str">
        <f t="shared" si="293"/>
        <v/>
      </c>
      <c r="DT240" s="499" t="str">
        <f t="shared" si="293"/>
        <v/>
      </c>
      <c r="DU240" s="499" t="str">
        <f t="shared" si="293"/>
        <v/>
      </c>
      <c r="DV240" s="499" t="str">
        <f t="shared" si="293"/>
        <v/>
      </c>
      <c r="DW240" s="499" t="str">
        <f t="shared" si="293"/>
        <v/>
      </c>
      <c r="DX240" s="499" t="str">
        <f t="shared" si="293"/>
        <v/>
      </c>
      <c r="DY240" s="499" t="str">
        <f t="shared" si="293"/>
        <v/>
      </c>
      <c r="DZ240" s="499" t="str">
        <f t="shared" si="293"/>
        <v/>
      </c>
      <c r="EA240" s="499">
        <f t="shared" ref="EA240:EI240" si="294">IF(EA160=1, EA$154/EA$156, "")</f>
        <v>100000</v>
      </c>
      <c r="EB240" s="499" t="str">
        <f t="shared" si="294"/>
        <v/>
      </c>
      <c r="EC240" s="499" t="str">
        <f t="shared" si="294"/>
        <v/>
      </c>
      <c r="ED240" s="499" t="str">
        <f t="shared" si="294"/>
        <v/>
      </c>
      <c r="EE240" s="499" t="str">
        <f t="shared" si="294"/>
        <v/>
      </c>
      <c r="EF240" s="499" t="str">
        <f t="shared" si="294"/>
        <v/>
      </c>
      <c r="EG240" s="499" t="str">
        <f t="shared" si="294"/>
        <v/>
      </c>
      <c r="EH240" s="499" t="str">
        <f t="shared" si="294"/>
        <v/>
      </c>
      <c r="EI240" s="499" t="str">
        <f t="shared" si="294"/>
        <v/>
      </c>
      <c r="EJ240" s="499">
        <f t="shared" si="289"/>
        <v>6415793.6494285697</v>
      </c>
      <c r="EK240" s="67"/>
      <c r="EL240" s="67"/>
      <c r="EM240" s="67"/>
      <c r="EN240" s="67"/>
      <c r="EO240" s="67"/>
      <c r="EP240" s="67"/>
      <c r="EQ240" s="67"/>
      <c r="ER240" s="67"/>
      <c r="ES240" s="67"/>
      <c r="ET240" s="67"/>
      <c r="EU240" s="67"/>
      <c r="EV240" s="67"/>
      <c r="EW240" s="67"/>
      <c r="EX240" s="67"/>
      <c r="EY240" s="67"/>
      <c r="EZ240" s="67"/>
    </row>
    <row r="241" spans="1:156">
      <c r="B241" s="500" t="s">
        <v>97</v>
      </c>
      <c r="C241" s="499">
        <f t="shared" ref="C241:AH241" si="295">IF(C161=1, C$154/C$156, "")</f>
        <v>75000</v>
      </c>
      <c r="D241" s="499" t="str">
        <f t="shared" si="295"/>
        <v/>
      </c>
      <c r="E241" s="499" t="str">
        <f t="shared" si="295"/>
        <v/>
      </c>
      <c r="F241" s="499" t="str">
        <f t="shared" si="295"/>
        <v/>
      </c>
      <c r="G241" s="499" t="str">
        <f t="shared" si="295"/>
        <v/>
      </c>
      <c r="H241" s="499">
        <f t="shared" si="295"/>
        <v>0</v>
      </c>
      <c r="I241" s="499" t="str">
        <f t="shared" si="295"/>
        <v/>
      </c>
      <c r="J241" s="499" t="str">
        <f t="shared" si="295"/>
        <v/>
      </c>
      <c r="K241" s="499">
        <f t="shared" si="295"/>
        <v>877500</v>
      </c>
      <c r="L241" s="499">
        <f t="shared" si="295"/>
        <v>683000</v>
      </c>
      <c r="M241" s="499" t="str">
        <f t="shared" si="295"/>
        <v/>
      </c>
      <c r="N241" s="499" t="str">
        <f t="shared" si="295"/>
        <v/>
      </c>
      <c r="O241" s="499" t="str">
        <f t="shared" si="295"/>
        <v/>
      </c>
      <c r="P241" s="499" t="str">
        <f t="shared" si="295"/>
        <v/>
      </c>
      <c r="Q241" s="499">
        <f t="shared" si="295"/>
        <v>0</v>
      </c>
      <c r="R241" s="499" t="str">
        <f t="shared" si="295"/>
        <v/>
      </c>
      <c r="S241" s="499" t="str">
        <f t="shared" si="295"/>
        <v/>
      </c>
      <c r="T241" s="499" t="str">
        <f t="shared" si="295"/>
        <v/>
      </c>
      <c r="U241" s="499" t="str">
        <f t="shared" si="295"/>
        <v/>
      </c>
      <c r="V241" s="499">
        <f t="shared" si="295"/>
        <v>4225333.333333333</v>
      </c>
      <c r="W241" s="499" t="str">
        <f t="shared" si="295"/>
        <v/>
      </c>
      <c r="X241" s="499">
        <f t="shared" si="295"/>
        <v>1531250</v>
      </c>
      <c r="Y241" s="499" t="str">
        <f t="shared" si="295"/>
        <v/>
      </c>
      <c r="Z241" s="499" t="str">
        <f t="shared" si="295"/>
        <v/>
      </c>
      <c r="AA241" s="499" t="str">
        <f t="shared" si="295"/>
        <v/>
      </c>
      <c r="AB241" s="499" t="str">
        <f t="shared" si="295"/>
        <v/>
      </c>
      <c r="AC241" s="499">
        <f t="shared" si="295"/>
        <v>244200</v>
      </c>
      <c r="AD241" s="499" t="str">
        <f t="shared" si="295"/>
        <v/>
      </c>
      <c r="AE241" s="499">
        <f t="shared" si="295"/>
        <v>1666666.6666666667</v>
      </c>
      <c r="AF241" s="499">
        <f t="shared" si="295"/>
        <v>165000</v>
      </c>
      <c r="AG241" s="499" t="str">
        <f t="shared" si="295"/>
        <v/>
      </c>
      <c r="AH241" s="499">
        <f t="shared" si="295"/>
        <v>0</v>
      </c>
      <c r="AI241" s="499" t="str">
        <f t="shared" ref="AI241:BN241" si="296">IF(AI161=1, AI$154/AI$156, "")</f>
        <v/>
      </c>
      <c r="AJ241" s="499">
        <f t="shared" si="296"/>
        <v>406310.09428571432</v>
      </c>
      <c r="AK241" s="499" t="str">
        <f t="shared" si="296"/>
        <v/>
      </c>
      <c r="AL241" s="499" t="str">
        <f t="shared" si="296"/>
        <v/>
      </c>
      <c r="AM241" s="499" t="str">
        <f t="shared" si="296"/>
        <v/>
      </c>
      <c r="AN241" s="499">
        <f t="shared" si="296"/>
        <v>74595.47714285714</v>
      </c>
      <c r="AO241" s="499" t="str">
        <f t="shared" si="296"/>
        <v/>
      </c>
      <c r="AP241" s="499">
        <f t="shared" si="296"/>
        <v>66666.666666666672</v>
      </c>
      <c r="AQ241" s="499">
        <f t="shared" si="296"/>
        <v>25300</v>
      </c>
      <c r="AR241" s="499" t="str">
        <f t="shared" si="296"/>
        <v/>
      </c>
      <c r="AS241" s="499" t="str">
        <f t="shared" si="296"/>
        <v/>
      </c>
      <c r="AT241" s="499" t="str">
        <f t="shared" si="296"/>
        <v/>
      </c>
      <c r="AU241" s="499">
        <f t="shared" si="296"/>
        <v>3404.375</v>
      </c>
      <c r="AV241" s="499" t="str">
        <f t="shared" si="296"/>
        <v/>
      </c>
      <c r="AW241" s="499" t="str">
        <f t="shared" si="296"/>
        <v/>
      </c>
      <c r="AX241" s="499" t="str">
        <f t="shared" si="296"/>
        <v/>
      </c>
      <c r="AY241" s="499">
        <f t="shared" si="296"/>
        <v>183383.0625</v>
      </c>
      <c r="AZ241" s="499">
        <f t="shared" si="296"/>
        <v>45282.285714285717</v>
      </c>
      <c r="BA241" s="499">
        <f t="shared" si="296"/>
        <v>1250</v>
      </c>
      <c r="BB241" s="499">
        <f t="shared" si="296"/>
        <v>22732.6875</v>
      </c>
      <c r="BC241" s="499" t="str">
        <f t="shared" si="296"/>
        <v/>
      </c>
      <c r="BD241" s="499" t="str">
        <f t="shared" si="296"/>
        <v/>
      </c>
      <c r="BE241" s="499" t="str">
        <f t="shared" si="296"/>
        <v/>
      </c>
      <c r="BF241" s="499" t="str">
        <f t="shared" si="296"/>
        <v/>
      </c>
      <c r="BG241" s="499" t="str">
        <f t="shared" si="296"/>
        <v/>
      </c>
      <c r="BH241" s="499">
        <f t="shared" si="296"/>
        <v>0</v>
      </c>
      <c r="BI241" s="499">
        <f t="shared" si="296"/>
        <v>0</v>
      </c>
      <c r="BJ241" s="499">
        <f t="shared" si="296"/>
        <v>0</v>
      </c>
      <c r="BK241" s="499" t="str">
        <f t="shared" si="296"/>
        <v/>
      </c>
      <c r="BL241" s="499" t="str">
        <f t="shared" si="296"/>
        <v/>
      </c>
      <c r="BM241" s="499">
        <f t="shared" si="296"/>
        <v>300000</v>
      </c>
      <c r="BN241" s="499" t="str">
        <f t="shared" si="296"/>
        <v/>
      </c>
      <c r="BO241" s="499" t="str">
        <f t="shared" ref="BO241:CT241" si="297">IF(BO161=1, BO$154/BO$156, "")</f>
        <v/>
      </c>
      <c r="BP241" s="499">
        <f t="shared" si="297"/>
        <v>187975</v>
      </c>
      <c r="BQ241" s="499" t="str">
        <f t="shared" si="297"/>
        <v/>
      </c>
      <c r="BR241" s="499" t="str">
        <f t="shared" si="297"/>
        <v/>
      </c>
      <c r="BS241" s="499" t="str">
        <f t="shared" si="297"/>
        <v/>
      </c>
      <c r="BT241" s="499">
        <f t="shared" si="297"/>
        <v>0</v>
      </c>
      <c r="BU241" s="499" t="str">
        <f t="shared" si="297"/>
        <v/>
      </c>
      <c r="BV241" s="499" t="str">
        <f t="shared" si="297"/>
        <v/>
      </c>
      <c r="BW241" s="499" t="str">
        <f t="shared" si="297"/>
        <v/>
      </c>
      <c r="BX241" s="499" t="str">
        <f t="shared" si="297"/>
        <v/>
      </c>
      <c r="BY241" s="499" t="str">
        <f t="shared" si="297"/>
        <v/>
      </c>
      <c r="BZ241" s="499">
        <f t="shared" si="297"/>
        <v>0</v>
      </c>
      <c r="CA241" s="499">
        <f t="shared" si="297"/>
        <v>60000</v>
      </c>
      <c r="CB241" s="499">
        <f t="shared" si="297"/>
        <v>15235.952380952382</v>
      </c>
      <c r="CC241" s="499" t="str">
        <f t="shared" si="297"/>
        <v/>
      </c>
      <c r="CD241" s="499" t="str">
        <f t="shared" si="297"/>
        <v/>
      </c>
      <c r="CE241" s="499" t="str">
        <f t="shared" si="297"/>
        <v/>
      </c>
      <c r="CF241" s="499" t="str">
        <f t="shared" si="297"/>
        <v/>
      </c>
      <c r="CG241" s="499" t="str">
        <f t="shared" si="297"/>
        <v/>
      </c>
      <c r="CH241" s="499">
        <f t="shared" si="297"/>
        <v>0</v>
      </c>
      <c r="CI241" s="499" t="str">
        <f t="shared" si="297"/>
        <v/>
      </c>
      <c r="CJ241" s="499" t="str">
        <f t="shared" si="297"/>
        <v/>
      </c>
      <c r="CK241" s="499">
        <f t="shared" si="297"/>
        <v>287894.55555555556</v>
      </c>
      <c r="CL241" s="499">
        <f t="shared" si="297"/>
        <v>0</v>
      </c>
      <c r="CM241" s="499" t="str">
        <f t="shared" si="297"/>
        <v/>
      </c>
      <c r="CN241" s="499" t="str">
        <f t="shared" si="297"/>
        <v/>
      </c>
      <c r="CO241" s="499">
        <f t="shared" si="297"/>
        <v>5000</v>
      </c>
      <c r="CP241" s="499" t="str">
        <f t="shared" si="297"/>
        <v/>
      </c>
      <c r="CQ241" s="499" t="str">
        <f t="shared" si="297"/>
        <v/>
      </c>
      <c r="CR241" s="499">
        <f t="shared" si="297"/>
        <v>1238500</v>
      </c>
      <c r="CS241" s="499">
        <f t="shared" si="297"/>
        <v>59566500</v>
      </c>
      <c r="CT241" s="499" t="str">
        <f t="shared" si="297"/>
        <v/>
      </c>
      <c r="CU241" s="499" t="str">
        <f t="shared" ref="CU241:DZ241" si="298">IF(CU161=1, CU$154/CU$156, "")</f>
        <v/>
      </c>
      <c r="CV241" s="499">
        <f t="shared" si="298"/>
        <v>5759.125</v>
      </c>
      <c r="CW241" s="499" t="str">
        <f t="shared" si="298"/>
        <v/>
      </c>
      <c r="CX241" s="499">
        <f t="shared" si="298"/>
        <v>31072.777000000002</v>
      </c>
      <c r="CY241" s="499" t="str">
        <f t="shared" si="298"/>
        <v/>
      </c>
      <c r="CZ241" s="499">
        <f t="shared" si="298"/>
        <v>2435.6666666666665</v>
      </c>
      <c r="DA241" s="499">
        <f t="shared" si="298"/>
        <v>0</v>
      </c>
      <c r="DB241" s="499">
        <f t="shared" si="298"/>
        <v>0</v>
      </c>
      <c r="DC241" s="499">
        <f t="shared" si="298"/>
        <v>232699.375</v>
      </c>
      <c r="DD241" s="499">
        <f t="shared" si="298"/>
        <v>1628071</v>
      </c>
      <c r="DE241" s="499">
        <f t="shared" si="298"/>
        <v>0</v>
      </c>
      <c r="DF241" s="499" t="str">
        <f t="shared" si="298"/>
        <v/>
      </c>
      <c r="DG241" s="499" t="str">
        <f t="shared" si="298"/>
        <v/>
      </c>
      <c r="DH241" s="499">
        <f t="shared" si="298"/>
        <v>3018.8095714285714</v>
      </c>
      <c r="DI241" s="499" t="str">
        <f t="shared" si="298"/>
        <v/>
      </c>
      <c r="DJ241" s="499" t="str">
        <f t="shared" si="298"/>
        <v/>
      </c>
      <c r="DK241" s="499">
        <f t="shared" si="298"/>
        <v>250</v>
      </c>
      <c r="DL241" s="499" t="str">
        <f t="shared" si="298"/>
        <v/>
      </c>
      <c r="DM241" s="499" t="str">
        <f t="shared" si="298"/>
        <v/>
      </c>
      <c r="DN241" s="499" t="str">
        <f t="shared" si="298"/>
        <v/>
      </c>
      <c r="DO241" s="499">
        <f t="shared" si="298"/>
        <v>4482461</v>
      </c>
      <c r="DP241" s="499" t="str">
        <f t="shared" si="298"/>
        <v/>
      </c>
      <c r="DQ241" s="499" t="str">
        <f t="shared" si="298"/>
        <v/>
      </c>
      <c r="DR241" s="499">
        <f t="shared" si="298"/>
        <v>132087.5</v>
      </c>
      <c r="DS241" s="499" t="str">
        <f t="shared" si="298"/>
        <v/>
      </c>
      <c r="DT241" s="499" t="str">
        <f t="shared" si="298"/>
        <v/>
      </c>
      <c r="DU241" s="499" t="str">
        <f t="shared" si="298"/>
        <v/>
      </c>
      <c r="DV241" s="499" t="str">
        <f t="shared" si="298"/>
        <v/>
      </c>
      <c r="DW241" s="499" t="str">
        <f t="shared" si="298"/>
        <v/>
      </c>
      <c r="DX241" s="499">
        <f t="shared" si="298"/>
        <v>5165839</v>
      </c>
      <c r="DY241" s="499" t="str">
        <f t="shared" si="298"/>
        <v/>
      </c>
      <c r="DZ241" s="499" t="str">
        <f t="shared" si="298"/>
        <v/>
      </c>
      <c r="EA241" s="499" t="str">
        <f t="shared" ref="EA241:EI241" si="299">IF(EA161=1, EA$154/EA$156, "")</f>
        <v/>
      </c>
      <c r="EB241" s="499">
        <f t="shared" si="299"/>
        <v>0</v>
      </c>
      <c r="EC241" s="499">
        <f t="shared" si="299"/>
        <v>514565</v>
      </c>
      <c r="ED241" s="499" t="str">
        <f t="shared" si="299"/>
        <v/>
      </c>
      <c r="EE241" s="499">
        <f t="shared" si="299"/>
        <v>2612500</v>
      </c>
      <c r="EF241" s="499" t="str">
        <f t="shared" si="299"/>
        <v/>
      </c>
      <c r="EG241" s="499" t="str">
        <f t="shared" si="299"/>
        <v/>
      </c>
      <c r="EH241" s="499" t="str">
        <f t="shared" si="299"/>
        <v/>
      </c>
      <c r="EI241" s="499" t="str">
        <f t="shared" si="299"/>
        <v/>
      </c>
      <c r="EJ241" s="499">
        <f t="shared" si="289"/>
        <v>86768739.409984127</v>
      </c>
      <c r="EK241" s="67"/>
      <c r="EL241" s="67"/>
      <c r="EM241" s="67"/>
      <c r="EN241" s="67"/>
      <c r="EO241" s="67"/>
      <c r="EP241" s="67"/>
      <c r="EQ241" s="67"/>
      <c r="ER241" s="67"/>
      <c r="ES241" s="67"/>
      <c r="ET241" s="67"/>
      <c r="EU241" s="67"/>
      <c r="EV241" s="67"/>
      <c r="EW241" s="67"/>
      <c r="EX241" s="67"/>
      <c r="EY241" s="67"/>
      <c r="EZ241" s="67"/>
    </row>
    <row r="242" spans="1:156">
      <c r="B242" s="500" t="s">
        <v>112</v>
      </c>
      <c r="C242" s="499" t="str">
        <f t="shared" ref="C242:AH242" si="300">IF(C162=1, C$154/C$156, "")</f>
        <v/>
      </c>
      <c r="D242" s="499" t="str">
        <f t="shared" si="300"/>
        <v/>
      </c>
      <c r="E242" s="499" t="str">
        <f t="shared" si="300"/>
        <v/>
      </c>
      <c r="F242" s="499" t="str">
        <f t="shared" si="300"/>
        <v/>
      </c>
      <c r="G242" s="499" t="str">
        <f t="shared" si="300"/>
        <v/>
      </c>
      <c r="H242" s="499">
        <f t="shared" si="300"/>
        <v>0</v>
      </c>
      <c r="I242" s="499" t="str">
        <f t="shared" si="300"/>
        <v/>
      </c>
      <c r="J242" s="499" t="str">
        <f t="shared" si="300"/>
        <v/>
      </c>
      <c r="K242" s="499" t="str">
        <f t="shared" si="300"/>
        <v/>
      </c>
      <c r="L242" s="499" t="str">
        <f t="shared" si="300"/>
        <v/>
      </c>
      <c r="M242" s="499" t="str">
        <f t="shared" si="300"/>
        <v/>
      </c>
      <c r="N242" s="499" t="str">
        <f t="shared" si="300"/>
        <v/>
      </c>
      <c r="O242" s="499">
        <f t="shared" si="300"/>
        <v>0</v>
      </c>
      <c r="P242" s="499" t="str">
        <f t="shared" si="300"/>
        <v/>
      </c>
      <c r="Q242" s="499">
        <f t="shared" si="300"/>
        <v>0</v>
      </c>
      <c r="R242" s="499" t="str">
        <f t="shared" si="300"/>
        <v/>
      </c>
      <c r="S242" s="499" t="str">
        <f t="shared" si="300"/>
        <v/>
      </c>
      <c r="T242" s="499" t="str">
        <f t="shared" si="300"/>
        <v/>
      </c>
      <c r="U242" s="499" t="str">
        <f t="shared" si="300"/>
        <v/>
      </c>
      <c r="V242" s="499">
        <f t="shared" si="300"/>
        <v>4225333.333333333</v>
      </c>
      <c r="W242" s="499" t="str">
        <f t="shared" si="300"/>
        <v/>
      </c>
      <c r="X242" s="499">
        <f t="shared" si="300"/>
        <v>1531250</v>
      </c>
      <c r="Y242" s="499" t="str">
        <f t="shared" si="300"/>
        <v/>
      </c>
      <c r="Z242" s="499" t="str">
        <f t="shared" si="300"/>
        <v/>
      </c>
      <c r="AA242" s="499" t="str">
        <f t="shared" si="300"/>
        <v/>
      </c>
      <c r="AB242" s="499">
        <f t="shared" si="300"/>
        <v>821956</v>
      </c>
      <c r="AC242" s="499" t="str">
        <f t="shared" si="300"/>
        <v/>
      </c>
      <c r="AD242" s="499" t="str">
        <f t="shared" si="300"/>
        <v/>
      </c>
      <c r="AE242" s="499">
        <f t="shared" si="300"/>
        <v>1666666.6666666667</v>
      </c>
      <c r="AF242" s="499">
        <f t="shared" si="300"/>
        <v>165000</v>
      </c>
      <c r="AG242" s="499" t="str">
        <f t="shared" si="300"/>
        <v/>
      </c>
      <c r="AH242" s="499">
        <f t="shared" si="300"/>
        <v>0</v>
      </c>
      <c r="AI242" s="499" t="str">
        <f t="shared" ref="AI242:BN242" si="301">IF(AI162=1, AI$154/AI$156, "")</f>
        <v/>
      </c>
      <c r="AJ242" s="499">
        <f t="shared" si="301"/>
        <v>406310.09428571432</v>
      </c>
      <c r="AK242" s="499" t="str">
        <f t="shared" si="301"/>
        <v/>
      </c>
      <c r="AL242" s="499" t="str">
        <f t="shared" si="301"/>
        <v/>
      </c>
      <c r="AM242" s="499" t="str">
        <f t="shared" si="301"/>
        <v/>
      </c>
      <c r="AN242" s="499">
        <f t="shared" si="301"/>
        <v>74595.47714285714</v>
      </c>
      <c r="AO242" s="499" t="str">
        <f t="shared" si="301"/>
        <v/>
      </c>
      <c r="AP242" s="499" t="str">
        <f t="shared" si="301"/>
        <v/>
      </c>
      <c r="AQ242" s="499" t="str">
        <f t="shared" si="301"/>
        <v/>
      </c>
      <c r="AR242" s="499" t="str">
        <f t="shared" si="301"/>
        <v/>
      </c>
      <c r="AS242" s="499">
        <f t="shared" si="301"/>
        <v>459.625</v>
      </c>
      <c r="AT242" s="499">
        <f t="shared" si="301"/>
        <v>3115</v>
      </c>
      <c r="AU242" s="499" t="str">
        <f t="shared" si="301"/>
        <v/>
      </c>
      <c r="AV242" s="499" t="str">
        <f t="shared" si="301"/>
        <v/>
      </c>
      <c r="AW242" s="499" t="str">
        <f t="shared" si="301"/>
        <v/>
      </c>
      <c r="AX242" s="499" t="str">
        <f t="shared" si="301"/>
        <v/>
      </c>
      <c r="AY242" s="499">
        <f t="shared" si="301"/>
        <v>183383.0625</v>
      </c>
      <c r="AZ242" s="499" t="str">
        <f t="shared" si="301"/>
        <v/>
      </c>
      <c r="BA242" s="499">
        <f t="shared" si="301"/>
        <v>1250</v>
      </c>
      <c r="BB242" s="499">
        <f t="shared" si="301"/>
        <v>22732.6875</v>
      </c>
      <c r="BC242" s="499">
        <f t="shared" si="301"/>
        <v>239714.23076923078</v>
      </c>
      <c r="BD242" s="499" t="str">
        <f t="shared" si="301"/>
        <v/>
      </c>
      <c r="BE242" s="499" t="str">
        <f t="shared" si="301"/>
        <v/>
      </c>
      <c r="BF242" s="499" t="str">
        <f t="shared" si="301"/>
        <v/>
      </c>
      <c r="BG242" s="499">
        <f t="shared" si="301"/>
        <v>504875</v>
      </c>
      <c r="BH242" s="499">
        <f t="shared" si="301"/>
        <v>0</v>
      </c>
      <c r="BI242" s="499">
        <f t="shared" si="301"/>
        <v>0</v>
      </c>
      <c r="BJ242" s="499">
        <f t="shared" si="301"/>
        <v>0</v>
      </c>
      <c r="BK242" s="499" t="str">
        <f t="shared" si="301"/>
        <v/>
      </c>
      <c r="BL242" s="499" t="str">
        <f t="shared" si="301"/>
        <v/>
      </c>
      <c r="BM242" s="499" t="str">
        <f t="shared" si="301"/>
        <v/>
      </c>
      <c r="BN242" s="499" t="str">
        <f t="shared" si="301"/>
        <v/>
      </c>
      <c r="BO242" s="499" t="str">
        <f t="shared" ref="BO242:CT242" si="302">IF(BO162=1, BO$154/BO$156, "")</f>
        <v/>
      </c>
      <c r="BP242" s="499">
        <f t="shared" si="302"/>
        <v>187975</v>
      </c>
      <c r="BQ242" s="499">
        <f t="shared" si="302"/>
        <v>16705625</v>
      </c>
      <c r="BR242" s="499" t="str">
        <f t="shared" si="302"/>
        <v/>
      </c>
      <c r="BS242" s="499">
        <f t="shared" si="302"/>
        <v>4294330</v>
      </c>
      <c r="BT242" s="499">
        <f t="shared" si="302"/>
        <v>0</v>
      </c>
      <c r="BU242" s="499" t="str">
        <f t="shared" si="302"/>
        <v/>
      </c>
      <c r="BV242" s="499" t="str">
        <f t="shared" si="302"/>
        <v/>
      </c>
      <c r="BW242" s="499" t="str">
        <f t="shared" si="302"/>
        <v/>
      </c>
      <c r="BX242" s="499" t="str">
        <f t="shared" si="302"/>
        <v/>
      </c>
      <c r="BY242" s="499" t="str">
        <f t="shared" si="302"/>
        <v/>
      </c>
      <c r="BZ242" s="499">
        <f t="shared" si="302"/>
        <v>0</v>
      </c>
      <c r="CA242" s="499" t="str">
        <f t="shared" si="302"/>
        <v/>
      </c>
      <c r="CB242" s="499">
        <f t="shared" si="302"/>
        <v>15235.952380952382</v>
      </c>
      <c r="CC242" s="499" t="str">
        <f t="shared" si="302"/>
        <v/>
      </c>
      <c r="CD242" s="499" t="str">
        <f t="shared" si="302"/>
        <v/>
      </c>
      <c r="CE242" s="499" t="str">
        <f t="shared" si="302"/>
        <v/>
      </c>
      <c r="CF242" s="499" t="str">
        <f t="shared" si="302"/>
        <v/>
      </c>
      <c r="CG242" s="499" t="str">
        <f t="shared" si="302"/>
        <v/>
      </c>
      <c r="CH242" s="499" t="str">
        <f t="shared" si="302"/>
        <v/>
      </c>
      <c r="CI242" s="499" t="str">
        <f t="shared" si="302"/>
        <v/>
      </c>
      <c r="CJ242" s="499" t="str">
        <f t="shared" si="302"/>
        <v/>
      </c>
      <c r="CK242" s="499">
        <f t="shared" si="302"/>
        <v>287894.55555555556</v>
      </c>
      <c r="CL242" s="499">
        <f t="shared" si="302"/>
        <v>0</v>
      </c>
      <c r="CM242" s="499">
        <f t="shared" si="302"/>
        <v>671064.5</v>
      </c>
      <c r="CN242" s="499" t="str">
        <f t="shared" si="302"/>
        <v/>
      </c>
      <c r="CO242" s="499">
        <f t="shared" si="302"/>
        <v>5000</v>
      </c>
      <c r="CP242" s="499">
        <f t="shared" si="302"/>
        <v>684050</v>
      </c>
      <c r="CQ242" s="499">
        <f t="shared" si="302"/>
        <v>1675000</v>
      </c>
      <c r="CR242" s="499" t="str">
        <f t="shared" si="302"/>
        <v/>
      </c>
      <c r="CS242" s="499">
        <f t="shared" si="302"/>
        <v>59566500</v>
      </c>
      <c r="CT242" s="499" t="str">
        <f t="shared" si="302"/>
        <v/>
      </c>
      <c r="CU242" s="499" t="str">
        <f t="shared" ref="CU242:DZ242" si="303">IF(CU162=1, CU$154/CU$156, "")</f>
        <v/>
      </c>
      <c r="CV242" s="499" t="str">
        <f t="shared" si="303"/>
        <v/>
      </c>
      <c r="CW242" s="499">
        <f t="shared" si="303"/>
        <v>450726.33333333331</v>
      </c>
      <c r="CX242" s="499" t="str">
        <f t="shared" si="303"/>
        <v/>
      </c>
      <c r="CY242" s="499" t="str">
        <f t="shared" si="303"/>
        <v/>
      </c>
      <c r="CZ242" s="499" t="str">
        <f t="shared" si="303"/>
        <v/>
      </c>
      <c r="DA242" s="499">
        <f t="shared" si="303"/>
        <v>0</v>
      </c>
      <c r="DB242" s="499" t="str">
        <f t="shared" si="303"/>
        <v/>
      </c>
      <c r="DC242" s="499">
        <f t="shared" si="303"/>
        <v>232699.375</v>
      </c>
      <c r="DD242" s="499">
        <f t="shared" si="303"/>
        <v>1628071</v>
      </c>
      <c r="DE242" s="499" t="str">
        <f t="shared" si="303"/>
        <v/>
      </c>
      <c r="DF242" s="499" t="str">
        <f t="shared" si="303"/>
        <v/>
      </c>
      <c r="DG242" s="499" t="str">
        <f t="shared" si="303"/>
        <v/>
      </c>
      <c r="DH242" s="499">
        <f t="shared" si="303"/>
        <v>3018.8095714285714</v>
      </c>
      <c r="DI242" s="499" t="str">
        <f t="shared" si="303"/>
        <v/>
      </c>
      <c r="DJ242" s="499" t="str">
        <f t="shared" si="303"/>
        <v/>
      </c>
      <c r="DK242" s="499">
        <f t="shared" si="303"/>
        <v>250</v>
      </c>
      <c r="DL242" s="499">
        <f t="shared" si="303"/>
        <v>358500</v>
      </c>
      <c r="DM242" s="499" t="str">
        <f t="shared" si="303"/>
        <v/>
      </c>
      <c r="DN242" s="499" t="str">
        <f t="shared" si="303"/>
        <v/>
      </c>
      <c r="DO242" s="499">
        <f t="shared" si="303"/>
        <v>4482461</v>
      </c>
      <c r="DP242" s="499" t="str">
        <f t="shared" si="303"/>
        <v/>
      </c>
      <c r="DQ242" s="499" t="str">
        <f t="shared" si="303"/>
        <v/>
      </c>
      <c r="DR242" s="499" t="str">
        <f t="shared" si="303"/>
        <v/>
      </c>
      <c r="DS242" s="499" t="str">
        <f t="shared" si="303"/>
        <v/>
      </c>
      <c r="DT242" s="499" t="str">
        <f t="shared" si="303"/>
        <v/>
      </c>
      <c r="DU242" s="499">
        <f t="shared" si="303"/>
        <v>1479900</v>
      </c>
      <c r="DV242" s="499">
        <f t="shared" si="303"/>
        <v>387000</v>
      </c>
      <c r="DW242" s="499" t="str">
        <f t="shared" si="303"/>
        <v/>
      </c>
      <c r="DX242" s="499" t="str">
        <f t="shared" si="303"/>
        <v/>
      </c>
      <c r="DY242" s="499" t="str">
        <f t="shared" si="303"/>
        <v/>
      </c>
      <c r="DZ242" s="499" t="str">
        <f t="shared" si="303"/>
        <v/>
      </c>
      <c r="EA242" s="499">
        <f t="shared" ref="EA242:EI242" si="304">IF(EA162=1, EA$154/EA$156, "")</f>
        <v>100000</v>
      </c>
      <c r="EB242" s="499" t="str">
        <f t="shared" si="304"/>
        <v/>
      </c>
      <c r="EC242" s="499" t="str">
        <f t="shared" si="304"/>
        <v/>
      </c>
      <c r="ED242" s="499">
        <f t="shared" si="304"/>
        <v>750</v>
      </c>
      <c r="EE242" s="499">
        <f t="shared" si="304"/>
        <v>2612500</v>
      </c>
      <c r="EF242" s="499" t="str">
        <f t="shared" si="304"/>
        <v/>
      </c>
      <c r="EG242" s="499">
        <f t="shared" si="304"/>
        <v>15000</v>
      </c>
      <c r="EH242" s="499">
        <f t="shared" si="304"/>
        <v>125886.25</v>
      </c>
      <c r="EI242" s="499">
        <f t="shared" si="304"/>
        <v>44272.727272727272</v>
      </c>
      <c r="EJ242" s="499">
        <f t="shared" si="289"/>
        <v>105860351.6803118</v>
      </c>
      <c r="EK242" s="67"/>
      <c r="EL242" s="67"/>
      <c r="EM242" s="67"/>
      <c r="EN242" s="67"/>
      <c r="EO242" s="67"/>
      <c r="EP242" s="67"/>
      <c r="EQ242" s="67"/>
      <c r="ER242" s="67"/>
      <c r="ES242" s="67"/>
      <c r="ET242" s="67"/>
      <c r="EU242" s="67"/>
      <c r="EV242" s="67"/>
      <c r="EW242" s="67"/>
      <c r="EX242" s="67"/>
      <c r="EY242" s="67"/>
      <c r="EZ242" s="67"/>
    </row>
    <row r="243" spans="1:156">
      <c r="B243" s="500" t="s">
        <v>93</v>
      </c>
      <c r="C243" s="499" t="str">
        <f t="shared" ref="C243:AH243" si="305">IF(C163=1, C$154/C$156, "")</f>
        <v/>
      </c>
      <c r="D243" s="499" t="str">
        <f t="shared" si="305"/>
        <v/>
      </c>
      <c r="E243" s="499" t="str">
        <f t="shared" si="305"/>
        <v/>
      </c>
      <c r="F243" s="499" t="str">
        <f t="shared" si="305"/>
        <v/>
      </c>
      <c r="G243" s="499">
        <f t="shared" si="305"/>
        <v>240570.16666666666</v>
      </c>
      <c r="H243" s="499">
        <f t="shared" si="305"/>
        <v>0</v>
      </c>
      <c r="I243" s="499" t="str">
        <f t="shared" si="305"/>
        <v/>
      </c>
      <c r="J243" s="499" t="str">
        <f t="shared" si="305"/>
        <v/>
      </c>
      <c r="K243" s="499" t="str">
        <f t="shared" si="305"/>
        <v/>
      </c>
      <c r="L243" s="499" t="str">
        <f t="shared" si="305"/>
        <v/>
      </c>
      <c r="M243" s="499" t="str">
        <f t="shared" si="305"/>
        <v/>
      </c>
      <c r="N243" s="499" t="str">
        <f t="shared" si="305"/>
        <v/>
      </c>
      <c r="O243" s="499" t="str">
        <f t="shared" si="305"/>
        <v/>
      </c>
      <c r="P243" s="499" t="str">
        <f t="shared" si="305"/>
        <v/>
      </c>
      <c r="Q243" s="499" t="str">
        <f t="shared" si="305"/>
        <v/>
      </c>
      <c r="R243" s="499" t="str">
        <f t="shared" si="305"/>
        <v/>
      </c>
      <c r="S243" s="499" t="str">
        <f t="shared" si="305"/>
        <v/>
      </c>
      <c r="T243" s="499" t="str">
        <f t="shared" si="305"/>
        <v/>
      </c>
      <c r="U243" s="499" t="str">
        <f t="shared" si="305"/>
        <v/>
      </c>
      <c r="V243" s="499" t="str">
        <f t="shared" si="305"/>
        <v/>
      </c>
      <c r="W243" s="499" t="str">
        <f t="shared" si="305"/>
        <v/>
      </c>
      <c r="X243" s="499">
        <f t="shared" si="305"/>
        <v>1531250</v>
      </c>
      <c r="Y243" s="499" t="str">
        <f t="shared" si="305"/>
        <v/>
      </c>
      <c r="Z243" s="499" t="str">
        <f t="shared" si="305"/>
        <v/>
      </c>
      <c r="AA243" s="499" t="str">
        <f t="shared" si="305"/>
        <v/>
      </c>
      <c r="AB243" s="499" t="str">
        <f t="shared" si="305"/>
        <v/>
      </c>
      <c r="AC243" s="499" t="str">
        <f t="shared" si="305"/>
        <v/>
      </c>
      <c r="AD243" s="499" t="str">
        <f t="shared" si="305"/>
        <v/>
      </c>
      <c r="AE243" s="499" t="str">
        <f t="shared" si="305"/>
        <v/>
      </c>
      <c r="AF243" s="499">
        <f t="shared" si="305"/>
        <v>165000</v>
      </c>
      <c r="AG243" s="499" t="str">
        <f t="shared" si="305"/>
        <v/>
      </c>
      <c r="AH243" s="499" t="str">
        <f t="shared" si="305"/>
        <v/>
      </c>
      <c r="AI243" s="499" t="str">
        <f t="shared" ref="AI243:BN243" si="306">IF(AI163=1, AI$154/AI$156, "")</f>
        <v/>
      </c>
      <c r="AJ243" s="499">
        <f t="shared" si="306"/>
        <v>406310.09428571432</v>
      </c>
      <c r="AK243" s="499" t="str">
        <f t="shared" si="306"/>
        <v/>
      </c>
      <c r="AL243" s="499" t="str">
        <f t="shared" si="306"/>
        <v/>
      </c>
      <c r="AM243" s="499" t="str">
        <f t="shared" si="306"/>
        <v/>
      </c>
      <c r="AN243" s="499">
        <f t="shared" si="306"/>
        <v>74595.47714285714</v>
      </c>
      <c r="AO243" s="499" t="str">
        <f t="shared" si="306"/>
        <v/>
      </c>
      <c r="AP243" s="499" t="str">
        <f t="shared" si="306"/>
        <v/>
      </c>
      <c r="AQ243" s="499" t="str">
        <f t="shared" si="306"/>
        <v/>
      </c>
      <c r="AR243" s="499" t="str">
        <f t="shared" si="306"/>
        <v/>
      </c>
      <c r="AS243" s="499">
        <f t="shared" si="306"/>
        <v>459.625</v>
      </c>
      <c r="AT243" s="499">
        <f t="shared" si="306"/>
        <v>3115</v>
      </c>
      <c r="AU243" s="499" t="str">
        <f t="shared" si="306"/>
        <v/>
      </c>
      <c r="AV243" s="499" t="str">
        <f t="shared" si="306"/>
        <v/>
      </c>
      <c r="AW243" s="499" t="str">
        <f t="shared" si="306"/>
        <v/>
      </c>
      <c r="AX243" s="499">
        <f t="shared" si="306"/>
        <v>0</v>
      </c>
      <c r="AY243" s="499">
        <f t="shared" si="306"/>
        <v>183383.0625</v>
      </c>
      <c r="AZ243" s="499">
        <f t="shared" si="306"/>
        <v>45282.285714285717</v>
      </c>
      <c r="BA243" s="499" t="str">
        <f t="shared" si="306"/>
        <v/>
      </c>
      <c r="BB243" s="499">
        <f t="shared" si="306"/>
        <v>22732.6875</v>
      </c>
      <c r="BC243" s="499">
        <f t="shared" si="306"/>
        <v>239714.23076923078</v>
      </c>
      <c r="BD243" s="499" t="str">
        <f t="shared" si="306"/>
        <v/>
      </c>
      <c r="BE243" s="499" t="str">
        <f t="shared" si="306"/>
        <v/>
      </c>
      <c r="BF243" s="499" t="str">
        <f t="shared" si="306"/>
        <v/>
      </c>
      <c r="BG243" s="499">
        <f t="shared" si="306"/>
        <v>504875</v>
      </c>
      <c r="BH243" s="499" t="str">
        <f t="shared" si="306"/>
        <v/>
      </c>
      <c r="BI243" s="499" t="str">
        <f t="shared" si="306"/>
        <v/>
      </c>
      <c r="BJ243" s="499" t="str">
        <f t="shared" si="306"/>
        <v/>
      </c>
      <c r="BK243" s="499" t="str">
        <f t="shared" si="306"/>
        <v/>
      </c>
      <c r="BL243" s="499" t="str">
        <f t="shared" si="306"/>
        <v/>
      </c>
      <c r="BM243" s="499" t="str">
        <f t="shared" si="306"/>
        <v/>
      </c>
      <c r="BN243" s="499" t="str">
        <f t="shared" si="306"/>
        <v/>
      </c>
      <c r="BO243" s="499" t="str">
        <f t="shared" ref="BO243:CT243" si="307">IF(BO163=1, BO$154/BO$156, "")</f>
        <v/>
      </c>
      <c r="BP243" s="499">
        <f t="shared" si="307"/>
        <v>187975</v>
      </c>
      <c r="BQ243" s="499" t="str">
        <f t="shared" si="307"/>
        <v/>
      </c>
      <c r="BR243" s="499" t="str">
        <f t="shared" si="307"/>
        <v/>
      </c>
      <c r="BS243" s="499" t="str">
        <f t="shared" si="307"/>
        <v/>
      </c>
      <c r="BT243" s="499">
        <f t="shared" si="307"/>
        <v>0</v>
      </c>
      <c r="BU243" s="499" t="str">
        <f t="shared" si="307"/>
        <v/>
      </c>
      <c r="BV243" s="499" t="str">
        <f t="shared" si="307"/>
        <v/>
      </c>
      <c r="BW243" s="499" t="str">
        <f t="shared" si="307"/>
        <v/>
      </c>
      <c r="BX243" s="499" t="str">
        <f t="shared" si="307"/>
        <v/>
      </c>
      <c r="BY243" s="499" t="str">
        <f t="shared" si="307"/>
        <v/>
      </c>
      <c r="BZ243" s="499">
        <f t="shared" si="307"/>
        <v>0</v>
      </c>
      <c r="CA243" s="499" t="str">
        <f t="shared" si="307"/>
        <v/>
      </c>
      <c r="CB243" s="499">
        <f t="shared" si="307"/>
        <v>15235.952380952382</v>
      </c>
      <c r="CC243" s="499" t="str">
        <f t="shared" si="307"/>
        <v/>
      </c>
      <c r="CD243" s="499" t="str">
        <f t="shared" si="307"/>
        <v/>
      </c>
      <c r="CE243" s="499" t="str">
        <f t="shared" si="307"/>
        <v/>
      </c>
      <c r="CF243" s="499" t="str">
        <f t="shared" si="307"/>
        <v/>
      </c>
      <c r="CG243" s="499" t="str">
        <f t="shared" si="307"/>
        <v/>
      </c>
      <c r="CH243" s="499" t="str">
        <f t="shared" si="307"/>
        <v/>
      </c>
      <c r="CI243" s="499" t="str">
        <f t="shared" si="307"/>
        <v/>
      </c>
      <c r="CJ243" s="499" t="str">
        <f t="shared" si="307"/>
        <v/>
      </c>
      <c r="CK243" s="499">
        <f t="shared" si="307"/>
        <v>287894.55555555556</v>
      </c>
      <c r="CL243" s="499">
        <f t="shared" si="307"/>
        <v>0</v>
      </c>
      <c r="CM243" s="499" t="str">
        <f t="shared" si="307"/>
        <v/>
      </c>
      <c r="CN243" s="499" t="str">
        <f t="shared" si="307"/>
        <v/>
      </c>
      <c r="CO243" s="499">
        <f t="shared" si="307"/>
        <v>5000</v>
      </c>
      <c r="CP243" s="499" t="str">
        <f t="shared" si="307"/>
        <v/>
      </c>
      <c r="CQ243" s="499" t="str">
        <f t="shared" si="307"/>
        <v/>
      </c>
      <c r="CR243" s="499" t="str">
        <f t="shared" si="307"/>
        <v/>
      </c>
      <c r="CS243" s="499" t="str">
        <f t="shared" si="307"/>
        <v/>
      </c>
      <c r="CT243" s="499" t="str">
        <f t="shared" si="307"/>
        <v/>
      </c>
      <c r="CU243" s="499" t="str">
        <f t="shared" ref="CU243:DZ243" si="308">IF(CU163=1, CU$154/CU$156, "")</f>
        <v/>
      </c>
      <c r="CV243" s="499">
        <f t="shared" si="308"/>
        <v>5759.125</v>
      </c>
      <c r="CW243" s="499">
        <f t="shared" si="308"/>
        <v>450726.33333333331</v>
      </c>
      <c r="CX243" s="499" t="str">
        <f t="shared" si="308"/>
        <v/>
      </c>
      <c r="CY243" s="499" t="str">
        <f t="shared" si="308"/>
        <v/>
      </c>
      <c r="CZ243" s="499" t="str">
        <f t="shared" si="308"/>
        <v/>
      </c>
      <c r="DA243" s="499" t="str">
        <f t="shared" si="308"/>
        <v/>
      </c>
      <c r="DB243" s="499">
        <f t="shared" si="308"/>
        <v>0</v>
      </c>
      <c r="DC243" s="499">
        <f t="shared" si="308"/>
        <v>232699.375</v>
      </c>
      <c r="DD243" s="499" t="str">
        <f t="shared" si="308"/>
        <v/>
      </c>
      <c r="DE243" s="499">
        <f t="shared" si="308"/>
        <v>0</v>
      </c>
      <c r="DF243" s="499" t="str">
        <f t="shared" si="308"/>
        <v/>
      </c>
      <c r="DG243" s="499">
        <f t="shared" si="308"/>
        <v>333333.33333333331</v>
      </c>
      <c r="DH243" s="499">
        <f t="shared" si="308"/>
        <v>3018.8095714285714</v>
      </c>
      <c r="DI243" s="499" t="str">
        <f t="shared" si="308"/>
        <v/>
      </c>
      <c r="DJ243" s="499" t="str">
        <f t="shared" si="308"/>
        <v/>
      </c>
      <c r="DK243" s="499">
        <f t="shared" si="308"/>
        <v>250</v>
      </c>
      <c r="DL243" s="499" t="str">
        <f t="shared" si="308"/>
        <v/>
      </c>
      <c r="DM243" s="499" t="str">
        <f t="shared" si="308"/>
        <v/>
      </c>
      <c r="DN243" s="499">
        <f t="shared" si="308"/>
        <v>1350</v>
      </c>
      <c r="DO243" s="499" t="str">
        <f t="shared" si="308"/>
        <v/>
      </c>
      <c r="DP243" s="499" t="str">
        <f t="shared" si="308"/>
        <v/>
      </c>
      <c r="DQ243" s="499" t="str">
        <f t="shared" si="308"/>
        <v/>
      </c>
      <c r="DR243" s="499" t="str">
        <f t="shared" si="308"/>
        <v/>
      </c>
      <c r="DS243" s="499" t="str">
        <f t="shared" si="308"/>
        <v/>
      </c>
      <c r="DT243" s="499" t="str">
        <f t="shared" si="308"/>
        <v/>
      </c>
      <c r="DU243" s="499" t="str">
        <f t="shared" si="308"/>
        <v/>
      </c>
      <c r="DV243" s="499" t="str">
        <f t="shared" si="308"/>
        <v/>
      </c>
      <c r="DW243" s="499" t="str">
        <f t="shared" si="308"/>
        <v/>
      </c>
      <c r="DX243" s="499" t="str">
        <f t="shared" si="308"/>
        <v/>
      </c>
      <c r="DY243" s="499" t="str">
        <f t="shared" si="308"/>
        <v/>
      </c>
      <c r="DZ243" s="499" t="str">
        <f t="shared" si="308"/>
        <v/>
      </c>
      <c r="EA243" s="499" t="str">
        <f t="shared" ref="EA243:EI243" si="309">IF(EA163=1, EA$154/EA$156, "")</f>
        <v/>
      </c>
      <c r="EB243" s="499" t="str">
        <f t="shared" si="309"/>
        <v/>
      </c>
      <c r="EC243" s="499" t="str">
        <f t="shared" si="309"/>
        <v/>
      </c>
      <c r="ED243" s="499">
        <f t="shared" si="309"/>
        <v>750</v>
      </c>
      <c r="EE243" s="499">
        <f t="shared" si="309"/>
        <v>2612500</v>
      </c>
      <c r="EF243" s="499">
        <f t="shared" si="309"/>
        <v>547791.66666666663</v>
      </c>
      <c r="EG243" s="499" t="str">
        <f t="shared" si="309"/>
        <v/>
      </c>
      <c r="EH243" s="499" t="str">
        <f t="shared" si="309"/>
        <v/>
      </c>
      <c r="EI243" s="499">
        <f t="shared" si="309"/>
        <v>44272.727272727272</v>
      </c>
      <c r="EJ243" s="499">
        <f t="shared" si="289"/>
        <v>8145844.5076927515</v>
      </c>
      <c r="EK243" s="67"/>
      <c r="EL243" s="67"/>
      <c r="EM243" s="67"/>
      <c r="EN243" s="67"/>
      <c r="EO243" s="67"/>
      <c r="EP243" s="67"/>
      <c r="EQ243" s="67"/>
      <c r="ER243" s="67"/>
      <c r="ES243" s="67"/>
      <c r="ET243" s="67"/>
      <c r="EU243" s="67"/>
      <c r="EV243" s="67"/>
      <c r="EW243" s="67"/>
      <c r="EX243" s="67"/>
      <c r="EY243" s="67"/>
      <c r="EZ243" s="67"/>
    </row>
    <row r="244" spans="1:156">
      <c r="B244" s="500" t="s">
        <v>95</v>
      </c>
      <c r="C244" s="499" t="str">
        <f t="shared" ref="C244:AH244" si="310">IF(C164=1, C$154/C$156, "")</f>
        <v/>
      </c>
      <c r="D244" s="499" t="str">
        <f t="shared" si="310"/>
        <v/>
      </c>
      <c r="E244" s="499" t="str">
        <f t="shared" si="310"/>
        <v/>
      </c>
      <c r="F244" s="499" t="str">
        <f t="shared" si="310"/>
        <v/>
      </c>
      <c r="G244" s="499">
        <f t="shared" si="310"/>
        <v>240570.16666666666</v>
      </c>
      <c r="H244" s="499">
        <f t="shared" si="310"/>
        <v>0</v>
      </c>
      <c r="I244" s="499" t="str">
        <f t="shared" si="310"/>
        <v/>
      </c>
      <c r="J244" s="499" t="str">
        <f t="shared" si="310"/>
        <v/>
      </c>
      <c r="K244" s="499" t="str">
        <f t="shared" si="310"/>
        <v/>
      </c>
      <c r="L244" s="499" t="str">
        <f t="shared" si="310"/>
        <v/>
      </c>
      <c r="M244" s="499" t="str">
        <f t="shared" si="310"/>
        <v/>
      </c>
      <c r="N244" s="499">
        <f t="shared" si="310"/>
        <v>0</v>
      </c>
      <c r="O244" s="499" t="str">
        <f t="shared" si="310"/>
        <v/>
      </c>
      <c r="P244" s="499" t="str">
        <f t="shared" si="310"/>
        <v/>
      </c>
      <c r="Q244" s="499" t="str">
        <f t="shared" si="310"/>
        <v/>
      </c>
      <c r="R244" s="499" t="str">
        <f t="shared" si="310"/>
        <v/>
      </c>
      <c r="S244" s="499" t="str">
        <f t="shared" si="310"/>
        <v/>
      </c>
      <c r="T244" s="499" t="str">
        <f t="shared" si="310"/>
        <v/>
      </c>
      <c r="U244" s="499" t="str">
        <f t="shared" si="310"/>
        <v/>
      </c>
      <c r="V244" s="499" t="str">
        <f t="shared" si="310"/>
        <v/>
      </c>
      <c r="W244" s="499">
        <f t="shared" si="310"/>
        <v>10000</v>
      </c>
      <c r="X244" s="499">
        <f t="shared" si="310"/>
        <v>1531250</v>
      </c>
      <c r="Y244" s="499" t="str">
        <f t="shared" si="310"/>
        <v/>
      </c>
      <c r="Z244" s="499" t="str">
        <f t="shared" si="310"/>
        <v/>
      </c>
      <c r="AA244" s="499" t="str">
        <f t="shared" si="310"/>
        <v/>
      </c>
      <c r="AB244" s="499" t="str">
        <f t="shared" si="310"/>
        <v/>
      </c>
      <c r="AC244" s="499" t="str">
        <f t="shared" si="310"/>
        <v/>
      </c>
      <c r="AD244" s="499" t="str">
        <f t="shared" si="310"/>
        <v/>
      </c>
      <c r="AE244" s="499" t="str">
        <f t="shared" si="310"/>
        <v/>
      </c>
      <c r="AF244" s="499" t="str">
        <f t="shared" si="310"/>
        <v/>
      </c>
      <c r="AG244" s="499" t="str">
        <f t="shared" si="310"/>
        <v/>
      </c>
      <c r="AH244" s="499">
        <f t="shared" si="310"/>
        <v>0</v>
      </c>
      <c r="AI244" s="499" t="str">
        <f t="shared" ref="AI244:BN244" si="311">IF(AI164=1, AI$154/AI$156, "")</f>
        <v/>
      </c>
      <c r="AJ244" s="499">
        <f t="shared" si="311"/>
        <v>406310.09428571432</v>
      </c>
      <c r="AK244" s="499" t="str">
        <f t="shared" si="311"/>
        <v/>
      </c>
      <c r="AL244" s="499" t="str">
        <f t="shared" si="311"/>
        <v/>
      </c>
      <c r="AM244" s="499" t="str">
        <f t="shared" si="311"/>
        <v/>
      </c>
      <c r="AN244" s="499">
        <f t="shared" si="311"/>
        <v>74595.47714285714</v>
      </c>
      <c r="AO244" s="499" t="str">
        <f t="shared" si="311"/>
        <v/>
      </c>
      <c r="AP244" s="499" t="str">
        <f t="shared" si="311"/>
        <v/>
      </c>
      <c r="AQ244" s="499" t="str">
        <f t="shared" si="311"/>
        <v/>
      </c>
      <c r="AR244" s="499" t="str">
        <f t="shared" si="311"/>
        <v/>
      </c>
      <c r="AS244" s="499">
        <f t="shared" si="311"/>
        <v>459.625</v>
      </c>
      <c r="AT244" s="499">
        <f t="shared" si="311"/>
        <v>3115</v>
      </c>
      <c r="AU244" s="499" t="str">
        <f t="shared" si="311"/>
        <v/>
      </c>
      <c r="AV244" s="499">
        <f t="shared" si="311"/>
        <v>373.5</v>
      </c>
      <c r="AW244" s="499" t="str">
        <f t="shared" si="311"/>
        <v/>
      </c>
      <c r="AX244" s="499">
        <f t="shared" si="311"/>
        <v>0</v>
      </c>
      <c r="AY244" s="499">
        <f t="shared" si="311"/>
        <v>183383.0625</v>
      </c>
      <c r="AZ244" s="499" t="str">
        <f t="shared" si="311"/>
        <v/>
      </c>
      <c r="BA244" s="499">
        <f t="shared" si="311"/>
        <v>1250</v>
      </c>
      <c r="BB244" s="499">
        <f t="shared" si="311"/>
        <v>22732.6875</v>
      </c>
      <c r="BC244" s="499">
        <f t="shared" si="311"/>
        <v>239714.23076923078</v>
      </c>
      <c r="BD244" s="499">
        <f t="shared" si="311"/>
        <v>252059.28571428571</v>
      </c>
      <c r="BE244" s="499" t="str">
        <f t="shared" si="311"/>
        <v/>
      </c>
      <c r="BF244" s="499" t="str">
        <f t="shared" si="311"/>
        <v/>
      </c>
      <c r="BG244" s="499">
        <f t="shared" si="311"/>
        <v>504875</v>
      </c>
      <c r="BH244" s="499" t="str">
        <f t="shared" si="311"/>
        <v/>
      </c>
      <c r="BI244" s="499" t="str">
        <f t="shared" si="311"/>
        <v/>
      </c>
      <c r="BJ244" s="499" t="str">
        <f t="shared" si="311"/>
        <v/>
      </c>
      <c r="BK244" s="499" t="str">
        <f t="shared" si="311"/>
        <v/>
      </c>
      <c r="BL244" s="499" t="str">
        <f t="shared" si="311"/>
        <v/>
      </c>
      <c r="BM244" s="499" t="str">
        <f t="shared" si="311"/>
        <v/>
      </c>
      <c r="BN244" s="499" t="str">
        <f t="shared" si="311"/>
        <v/>
      </c>
      <c r="BO244" s="499" t="str">
        <f t="shared" ref="BO244:CT244" si="312">IF(BO164=1, BO$154/BO$156, "")</f>
        <v/>
      </c>
      <c r="BP244" s="499">
        <f t="shared" si="312"/>
        <v>187975</v>
      </c>
      <c r="BQ244" s="499" t="str">
        <f t="shared" si="312"/>
        <v/>
      </c>
      <c r="BR244" s="499" t="str">
        <f t="shared" si="312"/>
        <v/>
      </c>
      <c r="BS244" s="499" t="str">
        <f t="shared" si="312"/>
        <v/>
      </c>
      <c r="BT244" s="499">
        <f t="shared" si="312"/>
        <v>0</v>
      </c>
      <c r="BU244" s="499" t="str">
        <f t="shared" si="312"/>
        <v/>
      </c>
      <c r="BV244" s="499" t="str">
        <f t="shared" si="312"/>
        <v/>
      </c>
      <c r="BW244" s="499" t="str">
        <f t="shared" si="312"/>
        <v/>
      </c>
      <c r="BX244" s="499" t="str">
        <f t="shared" si="312"/>
        <v/>
      </c>
      <c r="BY244" s="499" t="str">
        <f t="shared" si="312"/>
        <v/>
      </c>
      <c r="BZ244" s="499" t="str">
        <f t="shared" si="312"/>
        <v/>
      </c>
      <c r="CA244" s="499" t="str">
        <f t="shared" si="312"/>
        <v/>
      </c>
      <c r="CB244" s="499">
        <f t="shared" si="312"/>
        <v>15235.952380952382</v>
      </c>
      <c r="CC244" s="499" t="str">
        <f t="shared" si="312"/>
        <v/>
      </c>
      <c r="CD244" s="499" t="str">
        <f t="shared" si="312"/>
        <v/>
      </c>
      <c r="CE244" s="499" t="str">
        <f t="shared" si="312"/>
        <v/>
      </c>
      <c r="CF244" s="499" t="str">
        <f t="shared" si="312"/>
        <v/>
      </c>
      <c r="CG244" s="499" t="str">
        <f t="shared" si="312"/>
        <v/>
      </c>
      <c r="CH244" s="499" t="str">
        <f t="shared" si="312"/>
        <v/>
      </c>
      <c r="CI244" s="499" t="str">
        <f t="shared" si="312"/>
        <v/>
      </c>
      <c r="CJ244" s="499" t="str">
        <f t="shared" si="312"/>
        <v/>
      </c>
      <c r="CK244" s="499" t="str">
        <f t="shared" si="312"/>
        <v/>
      </c>
      <c r="CL244" s="499" t="str">
        <f t="shared" si="312"/>
        <v/>
      </c>
      <c r="CM244" s="499">
        <f t="shared" si="312"/>
        <v>671064.5</v>
      </c>
      <c r="CN244" s="499" t="str">
        <f t="shared" si="312"/>
        <v/>
      </c>
      <c r="CO244" s="499" t="str">
        <f t="shared" si="312"/>
        <v/>
      </c>
      <c r="CP244" s="499">
        <f t="shared" si="312"/>
        <v>684050</v>
      </c>
      <c r="CQ244" s="499" t="str">
        <f t="shared" si="312"/>
        <v/>
      </c>
      <c r="CR244" s="499" t="str">
        <f t="shared" si="312"/>
        <v/>
      </c>
      <c r="CS244" s="499" t="str">
        <f t="shared" si="312"/>
        <v/>
      </c>
      <c r="CT244" s="499" t="str">
        <f t="shared" si="312"/>
        <v/>
      </c>
      <c r="CU244" s="499" t="str">
        <f t="shared" ref="CU244:DZ244" si="313">IF(CU164=1, CU$154/CU$156, "")</f>
        <v/>
      </c>
      <c r="CV244" s="499">
        <f t="shared" si="313"/>
        <v>5759.125</v>
      </c>
      <c r="CW244" s="499">
        <f t="shared" si="313"/>
        <v>450726.33333333331</v>
      </c>
      <c r="CX244" s="499" t="str">
        <f t="shared" si="313"/>
        <v/>
      </c>
      <c r="CY244" s="499" t="str">
        <f t="shared" si="313"/>
        <v/>
      </c>
      <c r="CZ244" s="499" t="str">
        <f t="shared" si="313"/>
        <v/>
      </c>
      <c r="DA244" s="499" t="str">
        <f t="shared" si="313"/>
        <v/>
      </c>
      <c r="DB244" s="499">
        <f t="shared" si="313"/>
        <v>0</v>
      </c>
      <c r="DC244" s="499">
        <f t="shared" si="313"/>
        <v>232699.375</v>
      </c>
      <c r="DD244" s="499" t="str">
        <f t="shared" si="313"/>
        <v/>
      </c>
      <c r="DE244" s="499">
        <f t="shared" si="313"/>
        <v>0</v>
      </c>
      <c r="DF244" s="499" t="str">
        <f t="shared" si="313"/>
        <v/>
      </c>
      <c r="DG244" s="499">
        <f t="shared" si="313"/>
        <v>333333.33333333331</v>
      </c>
      <c r="DH244" s="499">
        <f t="shared" si="313"/>
        <v>3018.8095714285714</v>
      </c>
      <c r="DI244" s="499" t="str">
        <f t="shared" si="313"/>
        <v/>
      </c>
      <c r="DJ244" s="499" t="str">
        <f t="shared" si="313"/>
        <v/>
      </c>
      <c r="DK244" s="499">
        <f t="shared" si="313"/>
        <v>250</v>
      </c>
      <c r="DL244" s="499" t="str">
        <f t="shared" si="313"/>
        <v/>
      </c>
      <c r="DM244" s="499" t="str">
        <f t="shared" si="313"/>
        <v/>
      </c>
      <c r="DN244" s="499" t="str">
        <f t="shared" si="313"/>
        <v/>
      </c>
      <c r="DO244" s="499" t="str">
        <f t="shared" si="313"/>
        <v/>
      </c>
      <c r="DP244" s="499" t="str">
        <f t="shared" si="313"/>
        <v/>
      </c>
      <c r="DQ244" s="499">
        <f t="shared" si="313"/>
        <v>363750</v>
      </c>
      <c r="DR244" s="499" t="str">
        <f t="shared" si="313"/>
        <v/>
      </c>
      <c r="DS244" s="499" t="str">
        <f t="shared" si="313"/>
        <v/>
      </c>
      <c r="DT244" s="499" t="str">
        <f t="shared" si="313"/>
        <v/>
      </c>
      <c r="DU244" s="499">
        <f t="shared" si="313"/>
        <v>1479900</v>
      </c>
      <c r="DV244" s="499" t="str">
        <f t="shared" si="313"/>
        <v/>
      </c>
      <c r="DW244" s="499" t="str">
        <f t="shared" si="313"/>
        <v/>
      </c>
      <c r="DX244" s="499" t="str">
        <f t="shared" si="313"/>
        <v/>
      </c>
      <c r="DY244" s="499" t="str">
        <f t="shared" si="313"/>
        <v/>
      </c>
      <c r="DZ244" s="499" t="str">
        <f t="shared" si="313"/>
        <v/>
      </c>
      <c r="EA244" s="499" t="str">
        <f t="shared" ref="EA244:EI244" si="314">IF(EA164=1, EA$154/EA$156, "")</f>
        <v/>
      </c>
      <c r="EB244" s="499" t="str">
        <f t="shared" si="314"/>
        <v/>
      </c>
      <c r="EC244" s="499" t="str">
        <f t="shared" si="314"/>
        <v/>
      </c>
      <c r="ED244" s="499" t="str">
        <f t="shared" si="314"/>
        <v/>
      </c>
      <c r="EE244" s="499">
        <f t="shared" si="314"/>
        <v>2612500</v>
      </c>
      <c r="EF244" s="499">
        <f t="shared" si="314"/>
        <v>547791.66666666663</v>
      </c>
      <c r="EG244" s="499">
        <f t="shared" si="314"/>
        <v>15000</v>
      </c>
      <c r="EH244" s="499">
        <f t="shared" si="314"/>
        <v>125886.25</v>
      </c>
      <c r="EI244" s="499">
        <f t="shared" si="314"/>
        <v>44272.727272727272</v>
      </c>
      <c r="EJ244" s="499">
        <f t="shared" si="289"/>
        <v>11243901.202137195</v>
      </c>
      <c r="EK244" s="67"/>
      <c r="EL244" s="67"/>
      <c r="EM244" s="67"/>
      <c r="EN244" s="67"/>
      <c r="EO244" s="67"/>
      <c r="EP244" s="67"/>
      <c r="EQ244" s="67"/>
      <c r="ER244" s="67"/>
      <c r="ES244" s="67"/>
      <c r="ET244" s="67"/>
      <c r="EU244" s="67"/>
      <c r="EV244" s="67"/>
      <c r="EW244" s="67"/>
      <c r="EX244" s="67"/>
      <c r="EY244" s="67"/>
      <c r="EZ244" s="67"/>
    </row>
    <row r="245" spans="1:156">
      <c r="B245" s="500" t="s">
        <v>88</v>
      </c>
      <c r="C245" s="499" t="str">
        <f t="shared" ref="C245:AH245" si="315">IF(C165=1, C$154/C$156, "")</f>
        <v/>
      </c>
      <c r="D245" s="499" t="str">
        <f t="shared" si="315"/>
        <v/>
      </c>
      <c r="E245" s="499" t="str">
        <f t="shared" si="315"/>
        <v/>
      </c>
      <c r="F245" s="499" t="str">
        <f t="shared" si="315"/>
        <v/>
      </c>
      <c r="G245" s="499">
        <f t="shared" si="315"/>
        <v>240570.16666666666</v>
      </c>
      <c r="H245" s="499">
        <f t="shared" si="315"/>
        <v>0</v>
      </c>
      <c r="I245" s="499" t="str">
        <f t="shared" si="315"/>
        <v/>
      </c>
      <c r="J245" s="499" t="str">
        <f t="shared" si="315"/>
        <v/>
      </c>
      <c r="K245" s="499" t="str">
        <f t="shared" si="315"/>
        <v/>
      </c>
      <c r="L245" s="499" t="str">
        <f t="shared" si="315"/>
        <v/>
      </c>
      <c r="M245" s="499" t="str">
        <f t="shared" si="315"/>
        <v/>
      </c>
      <c r="N245" s="499">
        <f t="shared" si="315"/>
        <v>0</v>
      </c>
      <c r="O245" s="499" t="str">
        <f t="shared" si="315"/>
        <v/>
      </c>
      <c r="P245" s="499">
        <f t="shared" si="315"/>
        <v>37308.5</v>
      </c>
      <c r="Q245" s="499" t="str">
        <f t="shared" si="315"/>
        <v/>
      </c>
      <c r="R245" s="499" t="str">
        <f t="shared" si="315"/>
        <v/>
      </c>
      <c r="S245" s="499" t="str">
        <f t="shared" si="315"/>
        <v/>
      </c>
      <c r="T245" s="499">
        <f t="shared" si="315"/>
        <v>380495.46666666662</v>
      </c>
      <c r="U245" s="499" t="str">
        <f t="shared" si="315"/>
        <v/>
      </c>
      <c r="V245" s="499" t="str">
        <f t="shared" si="315"/>
        <v/>
      </c>
      <c r="W245" s="499" t="str">
        <f t="shared" si="315"/>
        <v/>
      </c>
      <c r="X245" s="499">
        <f t="shared" si="315"/>
        <v>1531250</v>
      </c>
      <c r="Y245" s="499" t="str">
        <f t="shared" si="315"/>
        <v/>
      </c>
      <c r="Z245" s="499">
        <f t="shared" si="315"/>
        <v>1666.6666666666667</v>
      </c>
      <c r="AA245" s="499" t="str">
        <f t="shared" si="315"/>
        <v/>
      </c>
      <c r="AB245" s="499" t="str">
        <f t="shared" si="315"/>
        <v/>
      </c>
      <c r="AC245" s="499" t="str">
        <f t="shared" si="315"/>
        <v/>
      </c>
      <c r="AD245" s="499" t="str">
        <f t="shared" si="315"/>
        <v/>
      </c>
      <c r="AE245" s="499" t="str">
        <f t="shared" si="315"/>
        <v/>
      </c>
      <c r="AF245" s="499" t="str">
        <f t="shared" si="315"/>
        <v/>
      </c>
      <c r="AG245" s="499" t="str">
        <f t="shared" si="315"/>
        <v/>
      </c>
      <c r="AH245" s="499" t="str">
        <f t="shared" si="315"/>
        <v/>
      </c>
      <c r="AI245" s="499" t="str">
        <f t="shared" ref="AI245:BN245" si="316">IF(AI165=1, AI$154/AI$156, "")</f>
        <v/>
      </c>
      <c r="AJ245" s="499" t="str">
        <f t="shared" si="316"/>
        <v/>
      </c>
      <c r="AK245" s="499" t="str">
        <f t="shared" si="316"/>
        <v/>
      </c>
      <c r="AL245" s="499">
        <f t="shared" si="316"/>
        <v>205232.47666666665</v>
      </c>
      <c r="AM245" s="499" t="str">
        <f t="shared" si="316"/>
        <v/>
      </c>
      <c r="AN245" s="499" t="str">
        <f t="shared" si="316"/>
        <v/>
      </c>
      <c r="AO245" s="499">
        <f t="shared" si="316"/>
        <v>174056.11333333334</v>
      </c>
      <c r="AP245" s="499">
        <f t="shared" si="316"/>
        <v>66666.666666666672</v>
      </c>
      <c r="AQ245" s="499" t="str">
        <f t="shared" si="316"/>
        <v/>
      </c>
      <c r="AR245" s="499">
        <f t="shared" si="316"/>
        <v>33333.333333333336</v>
      </c>
      <c r="AS245" s="499" t="str">
        <f t="shared" si="316"/>
        <v/>
      </c>
      <c r="AT245" s="499" t="str">
        <f t="shared" si="316"/>
        <v/>
      </c>
      <c r="AU245" s="499">
        <f t="shared" si="316"/>
        <v>3404.375</v>
      </c>
      <c r="AV245" s="499">
        <f t="shared" si="316"/>
        <v>373.5</v>
      </c>
      <c r="AW245" s="499">
        <f t="shared" si="316"/>
        <v>1000</v>
      </c>
      <c r="AX245" s="499" t="str">
        <f t="shared" si="316"/>
        <v/>
      </c>
      <c r="AY245" s="499">
        <f t="shared" si="316"/>
        <v>183383.0625</v>
      </c>
      <c r="AZ245" s="499">
        <f t="shared" si="316"/>
        <v>45282.285714285717</v>
      </c>
      <c r="BA245" s="499">
        <f t="shared" si="316"/>
        <v>1250</v>
      </c>
      <c r="BB245" s="499">
        <f t="shared" si="316"/>
        <v>22732.6875</v>
      </c>
      <c r="BC245" s="499">
        <f t="shared" si="316"/>
        <v>239714.23076923078</v>
      </c>
      <c r="BD245" s="499">
        <f t="shared" si="316"/>
        <v>252059.28571428571</v>
      </c>
      <c r="BE245" s="499">
        <f t="shared" si="316"/>
        <v>8400</v>
      </c>
      <c r="BF245" s="499" t="str">
        <f t="shared" si="316"/>
        <v/>
      </c>
      <c r="BG245" s="499">
        <f t="shared" si="316"/>
        <v>504875</v>
      </c>
      <c r="BH245" s="499" t="str">
        <f t="shared" si="316"/>
        <v/>
      </c>
      <c r="BI245" s="499" t="str">
        <f t="shared" si="316"/>
        <v/>
      </c>
      <c r="BJ245" s="499" t="str">
        <f t="shared" si="316"/>
        <v/>
      </c>
      <c r="BK245" s="499" t="str">
        <f t="shared" si="316"/>
        <v/>
      </c>
      <c r="BL245" s="499" t="str">
        <f t="shared" si="316"/>
        <v/>
      </c>
      <c r="BM245" s="499" t="str">
        <f t="shared" si="316"/>
        <v/>
      </c>
      <c r="BN245" s="499" t="str">
        <f t="shared" si="316"/>
        <v/>
      </c>
      <c r="BO245" s="499" t="str">
        <f t="shared" ref="BO245:CT245" si="317">IF(BO165=1, BO$154/BO$156, "")</f>
        <v/>
      </c>
      <c r="BP245" s="499">
        <f t="shared" si="317"/>
        <v>187975</v>
      </c>
      <c r="BQ245" s="499" t="str">
        <f t="shared" si="317"/>
        <v/>
      </c>
      <c r="BR245" s="499">
        <f t="shared" si="317"/>
        <v>8000</v>
      </c>
      <c r="BS245" s="499" t="str">
        <f t="shared" si="317"/>
        <v/>
      </c>
      <c r="BT245" s="499" t="str">
        <f t="shared" si="317"/>
        <v/>
      </c>
      <c r="BU245" s="499" t="str">
        <f t="shared" si="317"/>
        <v/>
      </c>
      <c r="BV245" s="499">
        <f t="shared" si="317"/>
        <v>0</v>
      </c>
      <c r="BW245" s="499" t="str">
        <f t="shared" si="317"/>
        <v/>
      </c>
      <c r="BX245" s="499" t="str">
        <f t="shared" si="317"/>
        <v/>
      </c>
      <c r="BY245" s="499" t="str">
        <f t="shared" si="317"/>
        <v/>
      </c>
      <c r="BZ245" s="499" t="str">
        <f t="shared" si="317"/>
        <v/>
      </c>
      <c r="CA245" s="499" t="str">
        <f t="shared" si="317"/>
        <v/>
      </c>
      <c r="CB245" s="499" t="str">
        <f t="shared" si="317"/>
        <v/>
      </c>
      <c r="CC245" s="499" t="str">
        <f t="shared" si="317"/>
        <v/>
      </c>
      <c r="CD245" s="499">
        <f t="shared" si="317"/>
        <v>6569.8888888888896</v>
      </c>
      <c r="CE245" s="499" t="str">
        <f t="shared" si="317"/>
        <v/>
      </c>
      <c r="CF245" s="499" t="str">
        <f t="shared" si="317"/>
        <v/>
      </c>
      <c r="CG245" s="499" t="str">
        <f t="shared" si="317"/>
        <v/>
      </c>
      <c r="CH245" s="499" t="str">
        <f t="shared" si="317"/>
        <v/>
      </c>
      <c r="CI245" s="499" t="str">
        <f t="shared" si="317"/>
        <v/>
      </c>
      <c r="CJ245" s="499" t="str">
        <f t="shared" si="317"/>
        <v/>
      </c>
      <c r="CK245" s="499">
        <f t="shared" si="317"/>
        <v>287894.55555555556</v>
      </c>
      <c r="CL245" s="499" t="str">
        <f t="shared" si="317"/>
        <v/>
      </c>
      <c r="CM245" s="499" t="str">
        <f t="shared" si="317"/>
        <v/>
      </c>
      <c r="CN245" s="499" t="str">
        <f t="shared" si="317"/>
        <v/>
      </c>
      <c r="CO245" s="499">
        <f t="shared" si="317"/>
        <v>5000</v>
      </c>
      <c r="CP245" s="499">
        <f t="shared" si="317"/>
        <v>684050</v>
      </c>
      <c r="CQ245" s="499" t="str">
        <f t="shared" si="317"/>
        <v/>
      </c>
      <c r="CR245" s="499" t="str">
        <f t="shared" si="317"/>
        <v/>
      </c>
      <c r="CS245" s="499" t="str">
        <f t="shared" si="317"/>
        <v/>
      </c>
      <c r="CT245" s="499" t="str">
        <f t="shared" si="317"/>
        <v/>
      </c>
      <c r="CU245" s="499" t="str">
        <f t="shared" ref="CU245:DZ245" si="318">IF(CU165=1, CU$154/CU$156, "")</f>
        <v/>
      </c>
      <c r="CV245" s="499">
        <f t="shared" si="318"/>
        <v>5759.125</v>
      </c>
      <c r="CW245" s="499">
        <f t="shared" si="318"/>
        <v>450726.33333333331</v>
      </c>
      <c r="CX245" s="499">
        <f t="shared" si="318"/>
        <v>31072.777000000002</v>
      </c>
      <c r="CY245" s="499" t="str">
        <f t="shared" si="318"/>
        <v/>
      </c>
      <c r="CZ245" s="499" t="str">
        <f t="shared" si="318"/>
        <v/>
      </c>
      <c r="DA245" s="499" t="str">
        <f t="shared" si="318"/>
        <v/>
      </c>
      <c r="DB245" s="499">
        <f t="shared" si="318"/>
        <v>0</v>
      </c>
      <c r="DC245" s="499">
        <f t="shared" si="318"/>
        <v>232699.375</v>
      </c>
      <c r="DD245" s="499" t="str">
        <f t="shared" si="318"/>
        <v/>
      </c>
      <c r="DE245" s="499">
        <f t="shared" si="318"/>
        <v>0</v>
      </c>
      <c r="DF245" s="499">
        <f t="shared" si="318"/>
        <v>9030</v>
      </c>
      <c r="DG245" s="499">
        <f t="shared" si="318"/>
        <v>333333.33333333331</v>
      </c>
      <c r="DH245" s="499" t="str">
        <f t="shared" si="318"/>
        <v/>
      </c>
      <c r="DI245" s="499" t="str">
        <f t="shared" si="318"/>
        <v/>
      </c>
      <c r="DJ245" s="499">
        <f t="shared" si="318"/>
        <v>7043.8899999999994</v>
      </c>
      <c r="DK245" s="499">
        <f t="shared" si="318"/>
        <v>250</v>
      </c>
      <c r="DL245" s="499" t="str">
        <f t="shared" si="318"/>
        <v/>
      </c>
      <c r="DM245" s="499" t="str">
        <f t="shared" si="318"/>
        <v/>
      </c>
      <c r="DN245" s="499" t="str">
        <f t="shared" si="318"/>
        <v/>
      </c>
      <c r="DO245" s="499" t="str">
        <f t="shared" si="318"/>
        <v/>
      </c>
      <c r="DP245" s="499">
        <f t="shared" si="318"/>
        <v>62500</v>
      </c>
      <c r="DQ245" s="499" t="str">
        <f t="shared" si="318"/>
        <v/>
      </c>
      <c r="DR245" s="499" t="str">
        <f t="shared" si="318"/>
        <v/>
      </c>
      <c r="DS245" s="499" t="str">
        <f t="shared" si="318"/>
        <v/>
      </c>
      <c r="DT245" s="499" t="str">
        <f t="shared" si="318"/>
        <v/>
      </c>
      <c r="DU245" s="499" t="str">
        <f t="shared" si="318"/>
        <v/>
      </c>
      <c r="DV245" s="499" t="str">
        <f t="shared" si="318"/>
        <v/>
      </c>
      <c r="DW245" s="499" t="str">
        <f t="shared" si="318"/>
        <v/>
      </c>
      <c r="DX245" s="499" t="str">
        <f t="shared" si="318"/>
        <v/>
      </c>
      <c r="DY245" s="499" t="str">
        <f t="shared" si="318"/>
        <v/>
      </c>
      <c r="DZ245" s="499" t="str">
        <f t="shared" si="318"/>
        <v/>
      </c>
      <c r="EA245" s="499" t="str">
        <f t="shared" ref="EA245:EI245" si="319">IF(EA165=1, EA$154/EA$156, "")</f>
        <v/>
      </c>
      <c r="EB245" s="499" t="str">
        <f t="shared" si="319"/>
        <v/>
      </c>
      <c r="EC245" s="499" t="str">
        <f t="shared" si="319"/>
        <v/>
      </c>
      <c r="ED245" s="499" t="str">
        <f t="shared" si="319"/>
        <v/>
      </c>
      <c r="EE245" s="499">
        <f t="shared" si="319"/>
        <v>2612500</v>
      </c>
      <c r="EF245" s="499">
        <f t="shared" si="319"/>
        <v>547791.66666666663</v>
      </c>
      <c r="EG245" s="499">
        <f t="shared" si="319"/>
        <v>15000</v>
      </c>
      <c r="EH245" s="499" t="str">
        <f t="shared" si="319"/>
        <v/>
      </c>
      <c r="EI245" s="499">
        <f t="shared" si="319"/>
        <v>44272.727272727272</v>
      </c>
      <c r="EJ245" s="499">
        <f t="shared" si="289"/>
        <v>9464522.4892483056</v>
      </c>
      <c r="EK245" s="67"/>
      <c r="EL245" s="67"/>
      <c r="EM245" s="67"/>
      <c r="EN245" s="67"/>
      <c r="EO245" s="67"/>
      <c r="EP245" s="67"/>
      <c r="EQ245" s="67"/>
      <c r="ER245" s="67"/>
      <c r="ES245" s="67"/>
      <c r="ET245" s="67"/>
      <c r="EU245" s="67"/>
      <c r="EV245" s="67"/>
      <c r="EW245" s="67"/>
      <c r="EX245" s="67"/>
      <c r="EY245" s="67"/>
      <c r="EZ245" s="67"/>
    </row>
    <row r="246" spans="1:156">
      <c r="B246" s="500" t="s">
        <v>99</v>
      </c>
      <c r="C246" s="499" t="str">
        <f t="shared" ref="C246:AH246" si="320">IF(C166=1, C$154/C$156, "")</f>
        <v/>
      </c>
      <c r="D246" s="499" t="str">
        <f t="shared" si="320"/>
        <v/>
      </c>
      <c r="E246" s="499" t="str">
        <f t="shared" si="320"/>
        <v/>
      </c>
      <c r="F246" s="499" t="str">
        <f t="shared" si="320"/>
        <v/>
      </c>
      <c r="G246" s="499" t="str">
        <f t="shared" si="320"/>
        <v/>
      </c>
      <c r="H246" s="499">
        <f t="shared" si="320"/>
        <v>0</v>
      </c>
      <c r="I246" s="499" t="str">
        <f t="shared" si="320"/>
        <v/>
      </c>
      <c r="J246" s="499" t="str">
        <f t="shared" si="320"/>
        <v/>
      </c>
      <c r="K246" s="499" t="str">
        <f t="shared" si="320"/>
        <v/>
      </c>
      <c r="L246" s="499" t="str">
        <f t="shared" si="320"/>
        <v/>
      </c>
      <c r="M246" s="499" t="str">
        <f t="shared" si="320"/>
        <v/>
      </c>
      <c r="N246" s="499">
        <f t="shared" si="320"/>
        <v>0</v>
      </c>
      <c r="O246" s="499" t="str">
        <f t="shared" si="320"/>
        <v/>
      </c>
      <c r="P246" s="499">
        <f t="shared" si="320"/>
        <v>37308.5</v>
      </c>
      <c r="Q246" s="499" t="str">
        <f t="shared" si="320"/>
        <v/>
      </c>
      <c r="R246" s="499" t="str">
        <f t="shared" si="320"/>
        <v/>
      </c>
      <c r="S246" s="499" t="str">
        <f t="shared" si="320"/>
        <v/>
      </c>
      <c r="T246" s="499">
        <f t="shared" si="320"/>
        <v>380495.46666666662</v>
      </c>
      <c r="U246" s="499" t="str">
        <f t="shared" si="320"/>
        <v/>
      </c>
      <c r="V246" s="499" t="str">
        <f t="shared" si="320"/>
        <v/>
      </c>
      <c r="W246" s="499" t="str">
        <f t="shared" si="320"/>
        <v/>
      </c>
      <c r="X246" s="499">
        <f t="shared" si="320"/>
        <v>1531250</v>
      </c>
      <c r="Y246" s="499" t="str">
        <f t="shared" si="320"/>
        <v/>
      </c>
      <c r="Z246" s="499">
        <f t="shared" si="320"/>
        <v>1666.6666666666667</v>
      </c>
      <c r="AA246" s="499" t="str">
        <f t="shared" si="320"/>
        <v/>
      </c>
      <c r="AB246" s="499" t="str">
        <f t="shared" si="320"/>
        <v/>
      </c>
      <c r="AC246" s="499" t="str">
        <f t="shared" si="320"/>
        <v/>
      </c>
      <c r="AD246" s="499" t="str">
        <f t="shared" si="320"/>
        <v/>
      </c>
      <c r="AE246" s="499" t="str">
        <f t="shared" si="320"/>
        <v/>
      </c>
      <c r="AF246" s="499" t="str">
        <f t="shared" si="320"/>
        <v/>
      </c>
      <c r="AG246" s="499" t="str">
        <f t="shared" si="320"/>
        <v/>
      </c>
      <c r="AH246" s="499">
        <f t="shared" si="320"/>
        <v>0</v>
      </c>
      <c r="AI246" s="499" t="str">
        <f t="shared" ref="AI246:BN246" si="321">IF(AI166=1, AI$154/AI$156, "")</f>
        <v/>
      </c>
      <c r="AJ246" s="499" t="str">
        <f t="shared" si="321"/>
        <v/>
      </c>
      <c r="AK246" s="499" t="str">
        <f t="shared" si="321"/>
        <v/>
      </c>
      <c r="AL246" s="499">
        <f t="shared" si="321"/>
        <v>205232.47666666665</v>
      </c>
      <c r="AM246" s="499" t="str">
        <f t="shared" si="321"/>
        <v/>
      </c>
      <c r="AN246" s="499" t="str">
        <f t="shared" si="321"/>
        <v/>
      </c>
      <c r="AO246" s="499">
        <f t="shared" si="321"/>
        <v>174056.11333333334</v>
      </c>
      <c r="AP246" s="499" t="str">
        <f t="shared" si="321"/>
        <v/>
      </c>
      <c r="AQ246" s="499" t="str">
        <f t="shared" si="321"/>
        <v/>
      </c>
      <c r="AR246" s="499">
        <f t="shared" si="321"/>
        <v>33333.333333333336</v>
      </c>
      <c r="AS246" s="499">
        <f t="shared" si="321"/>
        <v>459.625</v>
      </c>
      <c r="AT246" s="499" t="str">
        <f t="shared" si="321"/>
        <v/>
      </c>
      <c r="AU246" s="499">
        <f t="shared" si="321"/>
        <v>3404.375</v>
      </c>
      <c r="AV246" s="499" t="str">
        <f t="shared" si="321"/>
        <v/>
      </c>
      <c r="AW246" s="499">
        <f t="shared" si="321"/>
        <v>1000</v>
      </c>
      <c r="AX246" s="499" t="str">
        <f t="shared" si="321"/>
        <v/>
      </c>
      <c r="AY246" s="499">
        <f t="shared" si="321"/>
        <v>183383.0625</v>
      </c>
      <c r="AZ246" s="499" t="str">
        <f t="shared" si="321"/>
        <v/>
      </c>
      <c r="BA246" s="499">
        <f t="shared" si="321"/>
        <v>1250</v>
      </c>
      <c r="BB246" s="499">
        <f t="shared" si="321"/>
        <v>22732.6875</v>
      </c>
      <c r="BC246" s="499">
        <f t="shared" si="321"/>
        <v>239714.23076923078</v>
      </c>
      <c r="BD246" s="499">
        <f t="shared" si="321"/>
        <v>252059.28571428571</v>
      </c>
      <c r="BE246" s="499" t="str">
        <f t="shared" si="321"/>
        <v/>
      </c>
      <c r="BF246" s="499">
        <f t="shared" si="321"/>
        <v>59666.666666666664</v>
      </c>
      <c r="BG246" s="499">
        <f t="shared" si="321"/>
        <v>504875</v>
      </c>
      <c r="BH246" s="499" t="str">
        <f t="shared" si="321"/>
        <v/>
      </c>
      <c r="BI246" s="499" t="str">
        <f t="shared" si="321"/>
        <v/>
      </c>
      <c r="BJ246" s="499" t="str">
        <f t="shared" si="321"/>
        <v/>
      </c>
      <c r="BK246" s="499" t="str">
        <f t="shared" si="321"/>
        <v/>
      </c>
      <c r="BL246" s="499" t="str">
        <f t="shared" si="321"/>
        <v/>
      </c>
      <c r="BM246" s="499" t="str">
        <f t="shared" si="321"/>
        <v/>
      </c>
      <c r="BN246" s="499" t="str">
        <f t="shared" si="321"/>
        <v/>
      </c>
      <c r="BO246" s="499" t="str">
        <f t="shared" ref="BO246:CT246" si="322">IF(BO166=1, BO$154/BO$156, "")</f>
        <v/>
      </c>
      <c r="BP246" s="499">
        <f t="shared" si="322"/>
        <v>187975</v>
      </c>
      <c r="BQ246" s="499" t="str">
        <f t="shared" si="322"/>
        <v/>
      </c>
      <c r="BR246" s="499" t="str">
        <f t="shared" si="322"/>
        <v/>
      </c>
      <c r="BS246" s="499" t="str">
        <f t="shared" si="322"/>
        <v/>
      </c>
      <c r="BT246" s="499" t="str">
        <f t="shared" si="322"/>
        <v/>
      </c>
      <c r="BU246" s="499" t="str">
        <f t="shared" si="322"/>
        <v/>
      </c>
      <c r="BV246" s="499">
        <f t="shared" si="322"/>
        <v>0</v>
      </c>
      <c r="BW246" s="499" t="str">
        <f t="shared" si="322"/>
        <v/>
      </c>
      <c r="BX246" s="499" t="str">
        <f t="shared" si="322"/>
        <v/>
      </c>
      <c r="BY246" s="499" t="str">
        <f t="shared" si="322"/>
        <v/>
      </c>
      <c r="BZ246" s="499" t="str">
        <f t="shared" si="322"/>
        <v/>
      </c>
      <c r="CA246" s="499" t="str">
        <f t="shared" si="322"/>
        <v/>
      </c>
      <c r="CB246" s="499" t="str">
        <f t="shared" si="322"/>
        <v/>
      </c>
      <c r="CC246" s="499" t="str">
        <f t="shared" si="322"/>
        <v/>
      </c>
      <c r="CD246" s="499">
        <f t="shared" si="322"/>
        <v>6569.8888888888896</v>
      </c>
      <c r="CE246" s="499" t="str">
        <f t="shared" si="322"/>
        <v/>
      </c>
      <c r="CF246" s="499" t="str">
        <f t="shared" si="322"/>
        <v/>
      </c>
      <c r="CG246" s="499" t="str">
        <f t="shared" si="322"/>
        <v/>
      </c>
      <c r="CH246" s="499" t="str">
        <f t="shared" si="322"/>
        <v/>
      </c>
      <c r="CI246" s="499">
        <f t="shared" si="322"/>
        <v>0</v>
      </c>
      <c r="CJ246" s="499" t="str">
        <f t="shared" si="322"/>
        <v/>
      </c>
      <c r="CK246" s="499" t="str">
        <f t="shared" si="322"/>
        <v/>
      </c>
      <c r="CL246" s="499" t="str">
        <f t="shared" si="322"/>
        <v/>
      </c>
      <c r="CM246" s="499" t="str">
        <f t="shared" si="322"/>
        <v/>
      </c>
      <c r="CN246" s="499" t="str">
        <f t="shared" si="322"/>
        <v/>
      </c>
      <c r="CO246" s="499">
        <f t="shared" si="322"/>
        <v>5000</v>
      </c>
      <c r="CP246" s="499" t="str">
        <f t="shared" si="322"/>
        <v/>
      </c>
      <c r="CQ246" s="499" t="str">
        <f t="shared" si="322"/>
        <v/>
      </c>
      <c r="CR246" s="499" t="str">
        <f t="shared" si="322"/>
        <v/>
      </c>
      <c r="CS246" s="499" t="str">
        <f t="shared" si="322"/>
        <v/>
      </c>
      <c r="CT246" s="499" t="str">
        <f t="shared" si="322"/>
        <v/>
      </c>
      <c r="CU246" s="499" t="str">
        <f t="shared" ref="CU246:DZ246" si="323">IF(CU166=1, CU$154/CU$156, "")</f>
        <v/>
      </c>
      <c r="CV246" s="499" t="str">
        <f t="shared" si="323"/>
        <v/>
      </c>
      <c r="CW246" s="499">
        <f t="shared" si="323"/>
        <v>450726.33333333331</v>
      </c>
      <c r="CX246" s="499">
        <f t="shared" si="323"/>
        <v>31072.777000000002</v>
      </c>
      <c r="CY246" s="499" t="str">
        <f t="shared" si="323"/>
        <v/>
      </c>
      <c r="CZ246" s="499" t="str">
        <f t="shared" si="323"/>
        <v/>
      </c>
      <c r="DA246" s="499" t="str">
        <f t="shared" si="323"/>
        <v/>
      </c>
      <c r="DB246" s="499">
        <f t="shared" si="323"/>
        <v>0</v>
      </c>
      <c r="DC246" s="499">
        <f t="shared" si="323"/>
        <v>232699.375</v>
      </c>
      <c r="DD246" s="499" t="str">
        <f t="shared" si="323"/>
        <v/>
      </c>
      <c r="DE246" s="499">
        <f t="shared" si="323"/>
        <v>0</v>
      </c>
      <c r="DF246" s="499" t="str">
        <f t="shared" si="323"/>
        <v/>
      </c>
      <c r="DG246" s="499">
        <f t="shared" si="323"/>
        <v>333333.33333333331</v>
      </c>
      <c r="DH246" s="499" t="str">
        <f t="shared" si="323"/>
        <v/>
      </c>
      <c r="DI246" s="499" t="str">
        <f t="shared" si="323"/>
        <v/>
      </c>
      <c r="DJ246" s="499">
        <f t="shared" si="323"/>
        <v>7043.8899999999994</v>
      </c>
      <c r="DK246" s="499">
        <f t="shared" si="323"/>
        <v>250</v>
      </c>
      <c r="DL246" s="499" t="str">
        <f t="shared" si="323"/>
        <v/>
      </c>
      <c r="DM246" s="499" t="str">
        <f t="shared" si="323"/>
        <v/>
      </c>
      <c r="DN246" s="499" t="str">
        <f t="shared" si="323"/>
        <v/>
      </c>
      <c r="DO246" s="499" t="str">
        <f t="shared" si="323"/>
        <v/>
      </c>
      <c r="DP246" s="499" t="str">
        <f t="shared" si="323"/>
        <v/>
      </c>
      <c r="DQ246" s="499">
        <f t="shared" si="323"/>
        <v>363750</v>
      </c>
      <c r="DR246" s="499" t="str">
        <f t="shared" si="323"/>
        <v/>
      </c>
      <c r="DS246" s="499" t="str">
        <f t="shared" si="323"/>
        <v/>
      </c>
      <c r="DT246" s="499" t="str">
        <f t="shared" si="323"/>
        <v/>
      </c>
      <c r="DU246" s="499" t="str">
        <f t="shared" si="323"/>
        <v/>
      </c>
      <c r="DV246" s="499" t="str">
        <f t="shared" si="323"/>
        <v/>
      </c>
      <c r="DW246" s="499" t="str">
        <f t="shared" si="323"/>
        <v/>
      </c>
      <c r="DX246" s="499" t="str">
        <f t="shared" si="323"/>
        <v/>
      </c>
      <c r="DY246" s="499" t="str">
        <f t="shared" si="323"/>
        <v/>
      </c>
      <c r="DZ246" s="499" t="str">
        <f t="shared" si="323"/>
        <v/>
      </c>
      <c r="EA246" s="499" t="str">
        <f t="shared" ref="EA246:EI246" si="324">IF(EA166=1, EA$154/EA$156, "")</f>
        <v/>
      </c>
      <c r="EB246" s="499" t="str">
        <f t="shared" si="324"/>
        <v/>
      </c>
      <c r="EC246" s="499" t="str">
        <f t="shared" si="324"/>
        <v/>
      </c>
      <c r="ED246" s="499" t="str">
        <f t="shared" si="324"/>
        <v/>
      </c>
      <c r="EE246" s="499">
        <f t="shared" si="324"/>
        <v>2612500</v>
      </c>
      <c r="EF246" s="499">
        <f t="shared" si="324"/>
        <v>547791.66666666663</v>
      </c>
      <c r="EG246" s="499" t="str">
        <f t="shared" si="324"/>
        <v/>
      </c>
      <c r="EH246" s="499" t="str">
        <f t="shared" si="324"/>
        <v/>
      </c>
      <c r="EI246" s="499">
        <f t="shared" si="324"/>
        <v>44272.727272727272</v>
      </c>
      <c r="EJ246" s="499">
        <f t="shared" si="289"/>
        <v>8454872.4813117981</v>
      </c>
      <c r="EK246" s="67"/>
      <c r="EL246" s="67"/>
      <c r="EM246" s="67"/>
      <c r="EN246" s="67"/>
      <c r="EO246" s="67"/>
      <c r="EP246" s="67"/>
      <c r="EQ246" s="67"/>
      <c r="ER246" s="67"/>
      <c r="ES246" s="67"/>
      <c r="ET246" s="67"/>
      <c r="EU246" s="67"/>
      <c r="EV246" s="67"/>
      <c r="EW246" s="67"/>
      <c r="EX246" s="67"/>
      <c r="EY246" s="67"/>
      <c r="EZ246" s="67"/>
    </row>
    <row r="247" spans="1:156">
      <c r="B247" s="500" t="s">
        <v>87</v>
      </c>
      <c r="C247" s="499" t="str">
        <f t="shared" ref="C247:AH247" si="325">IF(C167=1, C$154/C$156, "")</f>
        <v/>
      </c>
      <c r="D247" s="499" t="str">
        <f t="shared" si="325"/>
        <v/>
      </c>
      <c r="E247" s="499" t="str">
        <f t="shared" si="325"/>
        <v/>
      </c>
      <c r="F247" s="499" t="str">
        <f t="shared" si="325"/>
        <v/>
      </c>
      <c r="G247" s="499">
        <f t="shared" si="325"/>
        <v>240570.16666666666</v>
      </c>
      <c r="H247" s="499">
        <f t="shared" si="325"/>
        <v>0</v>
      </c>
      <c r="I247" s="499" t="str">
        <f t="shared" si="325"/>
        <v/>
      </c>
      <c r="J247" s="499" t="str">
        <f t="shared" si="325"/>
        <v/>
      </c>
      <c r="K247" s="499" t="str">
        <f t="shared" si="325"/>
        <v/>
      </c>
      <c r="L247" s="499" t="str">
        <f t="shared" si="325"/>
        <v/>
      </c>
      <c r="M247" s="499" t="str">
        <f t="shared" si="325"/>
        <v/>
      </c>
      <c r="N247" s="499">
        <f t="shared" si="325"/>
        <v>0</v>
      </c>
      <c r="O247" s="499" t="str">
        <f t="shared" si="325"/>
        <v/>
      </c>
      <c r="P247" s="499" t="str">
        <f t="shared" si="325"/>
        <v/>
      </c>
      <c r="Q247" s="499" t="str">
        <f t="shared" si="325"/>
        <v/>
      </c>
      <c r="R247" s="499" t="str">
        <f t="shared" si="325"/>
        <v/>
      </c>
      <c r="S247" s="499" t="str">
        <f t="shared" si="325"/>
        <v/>
      </c>
      <c r="T247" s="499">
        <f t="shared" si="325"/>
        <v>380495.46666666662</v>
      </c>
      <c r="U247" s="499" t="str">
        <f t="shared" si="325"/>
        <v/>
      </c>
      <c r="V247" s="499" t="str">
        <f t="shared" si="325"/>
        <v/>
      </c>
      <c r="W247" s="499" t="str">
        <f t="shared" si="325"/>
        <v/>
      </c>
      <c r="X247" s="499">
        <f t="shared" si="325"/>
        <v>1531250</v>
      </c>
      <c r="Y247" s="499" t="str">
        <f t="shared" si="325"/>
        <v/>
      </c>
      <c r="Z247" s="499">
        <f t="shared" si="325"/>
        <v>1666.6666666666667</v>
      </c>
      <c r="AA247" s="499" t="str">
        <f t="shared" si="325"/>
        <v/>
      </c>
      <c r="AB247" s="499" t="str">
        <f t="shared" si="325"/>
        <v/>
      </c>
      <c r="AC247" s="499" t="str">
        <f t="shared" si="325"/>
        <v/>
      </c>
      <c r="AD247" s="499" t="str">
        <f t="shared" si="325"/>
        <v/>
      </c>
      <c r="AE247" s="499" t="str">
        <f t="shared" si="325"/>
        <v/>
      </c>
      <c r="AF247" s="499" t="str">
        <f t="shared" si="325"/>
        <v/>
      </c>
      <c r="AG247" s="499" t="str">
        <f t="shared" si="325"/>
        <v/>
      </c>
      <c r="AH247" s="499">
        <f t="shared" si="325"/>
        <v>0</v>
      </c>
      <c r="AI247" s="499" t="str">
        <f t="shared" ref="AI247:BN247" si="326">IF(AI167=1, AI$154/AI$156, "")</f>
        <v/>
      </c>
      <c r="AJ247" s="499" t="str">
        <f t="shared" si="326"/>
        <v/>
      </c>
      <c r="AK247" s="499" t="str">
        <f t="shared" si="326"/>
        <v/>
      </c>
      <c r="AL247" s="499">
        <f t="shared" si="326"/>
        <v>205232.47666666665</v>
      </c>
      <c r="AM247" s="499" t="str">
        <f t="shared" si="326"/>
        <v/>
      </c>
      <c r="AN247" s="499" t="str">
        <f t="shared" si="326"/>
        <v/>
      </c>
      <c r="AO247" s="499">
        <f t="shared" si="326"/>
        <v>174056.11333333334</v>
      </c>
      <c r="AP247" s="499">
        <f t="shared" si="326"/>
        <v>66666.666666666672</v>
      </c>
      <c r="AQ247" s="499" t="str">
        <f t="shared" si="326"/>
        <v/>
      </c>
      <c r="AR247" s="499" t="str">
        <f t="shared" si="326"/>
        <v/>
      </c>
      <c r="AS247" s="499">
        <f t="shared" si="326"/>
        <v>459.625</v>
      </c>
      <c r="AT247" s="499" t="str">
        <f t="shared" si="326"/>
        <v/>
      </c>
      <c r="AU247" s="499" t="str">
        <f t="shared" si="326"/>
        <v/>
      </c>
      <c r="AV247" s="499" t="str">
        <f t="shared" si="326"/>
        <v/>
      </c>
      <c r="AW247" s="499" t="str">
        <f t="shared" si="326"/>
        <v/>
      </c>
      <c r="AX247" s="499">
        <f t="shared" si="326"/>
        <v>0</v>
      </c>
      <c r="AY247" s="499">
        <f t="shared" si="326"/>
        <v>183383.0625</v>
      </c>
      <c r="AZ247" s="499" t="str">
        <f t="shared" si="326"/>
        <v/>
      </c>
      <c r="BA247" s="499" t="str">
        <f t="shared" si="326"/>
        <v/>
      </c>
      <c r="BB247" s="499">
        <f t="shared" si="326"/>
        <v>22732.6875</v>
      </c>
      <c r="BC247" s="499">
        <f t="shared" si="326"/>
        <v>239714.23076923078</v>
      </c>
      <c r="BD247" s="499" t="str">
        <f t="shared" si="326"/>
        <v/>
      </c>
      <c r="BE247" s="499">
        <f t="shared" si="326"/>
        <v>8400</v>
      </c>
      <c r="BF247" s="499" t="str">
        <f t="shared" si="326"/>
        <v/>
      </c>
      <c r="BG247" s="499">
        <f t="shared" si="326"/>
        <v>504875</v>
      </c>
      <c r="BH247" s="499" t="str">
        <f t="shared" si="326"/>
        <v/>
      </c>
      <c r="BI247" s="499" t="str">
        <f t="shared" si="326"/>
        <v/>
      </c>
      <c r="BJ247" s="499" t="str">
        <f t="shared" si="326"/>
        <v/>
      </c>
      <c r="BK247" s="499" t="str">
        <f t="shared" si="326"/>
        <v/>
      </c>
      <c r="BL247" s="499" t="str">
        <f t="shared" si="326"/>
        <v/>
      </c>
      <c r="BM247" s="499" t="str">
        <f t="shared" si="326"/>
        <v/>
      </c>
      <c r="BN247" s="499" t="str">
        <f t="shared" si="326"/>
        <v/>
      </c>
      <c r="BO247" s="499" t="str">
        <f t="shared" ref="BO247:CT247" si="327">IF(BO167=1, BO$154/BO$156, "")</f>
        <v/>
      </c>
      <c r="BP247" s="499">
        <f t="shared" si="327"/>
        <v>187975</v>
      </c>
      <c r="BQ247" s="499" t="str">
        <f t="shared" si="327"/>
        <v/>
      </c>
      <c r="BR247" s="499">
        <f t="shared" si="327"/>
        <v>8000</v>
      </c>
      <c r="BS247" s="499" t="str">
        <f t="shared" si="327"/>
        <v/>
      </c>
      <c r="BT247" s="499" t="str">
        <f t="shared" si="327"/>
        <v/>
      </c>
      <c r="BU247" s="499" t="str">
        <f t="shared" si="327"/>
        <v/>
      </c>
      <c r="BV247" s="499">
        <f t="shared" si="327"/>
        <v>0</v>
      </c>
      <c r="BW247" s="499" t="str">
        <f t="shared" si="327"/>
        <v/>
      </c>
      <c r="BX247" s="499" t="str">
        <f t="shared" si="327"/>
        <v/>
      </c>
      <c r="BY247" s="499" t="str">
        <f t="shared" si="327"/>
        <v/>
      </c>
      <c r="BZ247" s="499" t="str">
        <f t="shared" si="327"/>
        <v/>
      </c>
      <c r="CA247" s="499" t="str">
        <f t="shared" si="327"/>
        <v/>
      </c>
      <c r="CB247" s="499" t="str">
        <f t="shared" si="327"/>
        <v/>
      </c>
      <c r="CC247" s="499" t="str">
        <f t="shared" si="327"/>
        <v/>
      </c>
      <c r="CD247" s="499">
        <f t="shared" si="327"/>
        <v>6569.8888888888896</v>
      </c>
      <c r="CE247" s="499" t="str">
        <f t="shared" si="327"/>
        <v/>
      </c>
      <c r="CF247" s="499" t="str">
        <f t="shared" si="327"/>
        <v/>
      </c>
      <c r="CG247" s="499" t="str">
        <f t="shared" si="327"/>
        <v/>
      </c>
      <c r="CH247" s="499" t="str">
        <f t="shared" si="327"/>
        <v/>
      </c>
      <c r="CI247" s="499" t="str">
        <f t="shared" si="327"/>
        <v/>
      </c>
      <c r="CJ247" s="499" t="str">
        <f t="shared" si="327"/>
        <v/>
      </c>
      <c r="CK247" s="499" t="str">
        <f t="shared" si="327"/>
        <v/>
      </c>
      <c r="CL247" s="499" t="str">
        <f t="shared" si="327"/>
        <v/>
      </c>
      <c r="CM247" s="499" t="str">
        <f t="shared" si="327"/>
        <v/>
      </c>
      <c r="CN247" s="499" t="str">
        <f t="shared" si="327"/>
        <v/>
      </c>
      <c r="CO247" s="499">
        <f t="shared" si="327"/>
        <v>5000</v>
      </c>
      <c r="CP247" s="499" t="str">
        <f t="shared" si="327"/>
        <v/>
      </c>
      <c r="CQ247" s="499" t="str">
        <f t="shared" si="327"/>
        <v/>
      </c>
      <c r="CR247" s="499" t="str">
        <f t="shared" si="327"/>
        <v/>
      </c>
      <c r="CS247" s="499" t="str">
        <f t="shared" si="327"/>
        <v/>
      </c>
      <c r="CT247" s="499" t="str">
        <f t="shared" si="327"/>
        <v/>
      </c>
      <c r="CU247" s="499" t="str">
        <f t="shared" ref="CU247:DZ247" si="328">IF(CU167=1, CU$154/CU$156, "")</f>
        <v/>
      </c>
      <c r="CV247" s="499">
        <f t="shared" si="328"/>
        <v>5759.125</v>
      </c>
      <c r="CW247" s="499">
        <f t="shared" si="328"/>
        <v>450726.33333333331</v>
      </c>
      <c r="CX247" s="499">
        <f t="shared" si="328"/>
        <v>31072.777000000002</v>
      </c>
      <c r="CY247" s="499" t="str">
        <f t="shared" si="328"/>
        <v/>
      </c>
      <c r="CZ247" s="499" t="str">
        <f t="shared" si="328"/>
        <v/>
      </c>
      <c r="DA247" s="499" t="str">
        <f t="shared" si="328"/>
        <v/>
      </c>
      <c r="DB247" s="499">
        <f t="shared" si="328"/>
        <v>0</v>
      </c>
      <c r="DC247" s="499">
        <f t="shared" si="328"/>
        <v>232699.375</v>
      </c>
      <c r="DD247" s="499" t="str">
        <f t="shared" si="328"/>
        <v/>
      </c>
      <c r="DE247" s="499">
        <f t="shared" si="328"/>
        <v>0</v>
      </c>
      <c r="DF247" s="499">
        <f t="shared" si="328"/>
        <v>9030</v>
      </c>
      <c r="DG247" s="499">
        <f t="shared" si="328"/>
        <v>333333.33333333331</v>
      </c>
      <c r="DH247" s="499" t="str">
        <f t="shared" si="328"/>
        <v/>
      </c>
      <c r="DI247" s="499" t="str">
        <f t="shared" si="328"/>
        <v/>
      </c>
      <c r="DJ247" s="499">
        <f t="shared" si="328"/>
        <v>7043.8899999999994</v>
      </c>
      <c r="DK247" s="499">
        <f t="shared" si="328"/>
        <v>250</v>
      </c>
      <c r="DL247" s="499" t="str">
        <f t="shared" si="328"/>
        <v/>
      </c>
      <c r="DM247" s="499">
        <f t="shared" si="328"/>
        <v>13133.5</v>
      </c>
      <c r="DN247" s="499" t="str">
        <f t="shared" si="328"/>
        <v/>
      </c>
      <c r="DO247" s="499" t="str">
        <f t="shared" si="328"/>
        <v/>
      </c>
      <c r="DP247" s="499" t="str">
        <f t="shared" si="328"/>
        <v/>
      </c>
      <c r="DQ247" s="499" t="str">
        <f t="shared" si="328"/>
        <v/>
      </c>
      <c r="DR247" s="499" t="str">
        <f t="shared" si="328"/>
        <v/>
      </c>
      <c r="DS247" s="499" t="str">
        <f t="shared" si="328"/>
        <v/>
      </c>
      <c r="DT247" s="499" t="str">
        <f t="shared" si="328"/>
        <v/>
      </c>
      <c r="DU247" s="499" t="str">
        <f t="shared" si="328"/>
        <v/>
      </c>
      <c r="DV247" s="499" t="str">
        <f t="shared" si="328"/>
        <v/>
      </c>
      <c r="DW247" s="499" t="str">
        <f t="shared" si="328"/>
        <v/>
      </c>
      <c r="DX247" s="499" t="str">
        <f t="shared" si="328"/>
        <v/>
      </c>
      <c r="DY247" s="499" t="str">
        <f t="shared" si="328"/>
        <v/>
      </c>
      <c r="DZ247" s="499" t="str">
        <f t="shared" si="328"/>
        <v/>
      </c>
      <c r="EA247" s="499" t="str">
        <f t="shared" ref="EA247:EI247" si="329">IF(EA167=1, EA$154/EA$156, "")</f>
        <v/>
      </c>
      <c r="EB247" s="499" t="str">
        <f t="shared" si="329"/>
        <v/>
      </c>
      <c r="EC247" s="499" t="str">
        <f t="shared" si="329"/>
        <v/>
      </c>
      <c r="ED247" s="499" t="str">
        <f t="shared" si="329"/>
        <v/>
      </c>
      <c r="EE247" s="499">
        <f t="shared" si="329"/>
        <v>2612500</v>
      </c>
      <c r="EF247" s="499">
        <f t="shared" si="329"/>
        <v>547791.66666666663</v>
      </c>
      <c r="EG247" s="499">
        <f t="shared" si="329"/>
        <v>15000</v>
      </c>
      <c r="EH247" s="499">
        <f t="shared" si="329"/>
        <v>125886.25</v>
      </c>
      <c r="EI247" s="499">
        <f t="shared" si="329"/>
        <v>44272.727272727272</v>
      </c>
      <c r="EJ247" s="499">
        <f t="shared" si="289"/>
        <v>8195546.0289308466</v>
      </c>
      <c r="EK247" s="67"/>
      <c r="EL247" s="67"/>
      <c r="EM247" s="67"/>
      <c r="EN247" s="67"/>
      <c r="EO247" s="67"/>
      <c r="EP247" s="67"/>
      <c r="EQ247" s="67"/>
      <c r="ER247" s="67"/>
      <c r="ES247" s="67"/>
      <c r="ET247" s="67"/>
      <c r="EU247" s="67"/>
      <c r="EV247" s="67"/>
      <c r="EW247" s="67"/>
      <c r="EX247" s="67"/>
      <c r="EY247" s="67"/>
      <c r="EZ247" s="67"/>
    </row>
    <row r="248" spans="1:156">
      <c r="B248" s="500" t="s">
        <v>89</v>
      </c>
      <c r="C248" s="499" t="str">
        <f t="shared" ref="C248:AH248" si="330">IF(C168=1, C$154/C$156, "")</f>
        <v/>
      </c>
      <c r="D248" s="499" t="str">
        <f t="shared" si="330"/>
        <v/>
      </c>
      <c r="E248" s="499" t="str">
        <f t="shared" si="330"/>
        <v/>
      </c>
      <c r="F248" s="499" t="str">
        <f t="shared" si="330"/>
        <v/>
      </c>
      <c r="G248" s="499">
        <f t="shared" si="330"/>
        <v>240570.16666666666</v>
      </c>
      <c r="H248" s="499">
        <f t="shared" si="330"/>
        <v>0</v>
      </c>
      <c r="I248" s="499" t="str">
        <f t="shared" si="330"/>
        <v/>
      </c>
      <c r="J248" s="499" t="str">
        <f t="shared" si="330"/>
        <v/>
      </c>
      <c r="K248" s="499" t="str">
        <f t="shared" si="330"/>
        <v/>
      </c>
      <c r="L248" s="499" t="str">
        <f t="shared" si="330"/>
        <v/>
      </c>
      <c r="M248" s="499" t="str">
        <f t="shared" si="330"/>
        <v/>
      </c>
      <c r="N248" s="499" t="str">
        <f t="shared" si="330"/>
        <v/>
      </c>
      <c r="O248" s="499" t="str">
        <f t="shared" si="330"/>
        <v/>
      </c>
      <c r="P248" s="499" t="str">
        <f t="shared" si="330"/>
        <v/>
      </c>
      <c r="Q248" s="499" t="str">
        <f t="shared" si="330"/>
        <v/>
      </c>
      <c r="R248" s="499" t="str">
        <f t="shared" si="330"/>
        <v/>
      </c>
      <c r="S248" s="499">
        <f t="shared" si="330"/>
        <v>378868.80200000003</v>
      </c>
      <c r="T248" s="499" t="str">
        <f t="shared" si="330"/>
        <v/>
      </c>
      <c r="U248" s="499" t="str">
        <f t="shared" si="330"/>
        <v/>
      </c>
      <c r="V248" s="499" t="str">
        <f t="shared" si="330"/>
        <v/>
      </c>
      <c r="W248" s="499" t="str">
        <f t="shared" si="330"/>
        <v/>
      </c>
      <c r="X248" s="499">
        <f t="shared" si="330"/>
        <v>1531250</v>
      </c>
      <c r="Y248" s="499" t="str">
        <f t="shared" si="330"/>
        <v/>
      </c>
      <c r="Z248" s="499">
        <f t="shared" si="330"/>
        <v>1666.6666666666667</v>
      </c>
      <c r="AA248" s="499">
        <f t="shared" si="330"/>
        <v>357986.66666666669</v>
      </c>
      <c r="AB248" s="499" t="str">
        <f t="shared" si="330"/>
        <v/>
      </c>
      <c r="AC248" s="499" t="str">
        <f t="shared" si="330"/>
        <v/>
      </c>
      <c r="AD248" s="499" t="str">
        <f t="shared" si="330"/>
        <v/>
      </c>
      <c r="AE248" s="499" t="str">
        <f t="shared" si="330"/>
        <v/>
      </c>
      <c r="AF248" s="499" t="str">
        <f t="shared" si="330"/>
        <v/>
      </c>
      <c r="AG248" s="499" t="str">
        <f t="shared" si="330"/>
        <v/>
      </c>
      <c r="AH248" s="499">
        <f t="shared" si="330"/>
        <v>0</v>
      </c>
      <c r="AI248" s="499" t="str">
        <f t="shared" ref="AI248:BN248" si="331">IF(AI168=1, AI$154/AI$156, "")</f>
        <v/>
      </c>
      <c r="AJ248" s="499" t="str">
        <f t="shared" si="331"/>
        <v/>
      </c>
      <c r="AK248" s="499">
        <f t="shared" si="331"/>
        <v>304189.51400000002</v>
      </c>
      <c r="AL248" s="499" t="str">
        <f t="shared" si="331"/>
        <v/>
      </c>
      <c r="AM248" s="499">
        <f t="shared" si="331"/>
        <v>104433.6673333334</v>
      </c>
      <c r="AN248" s="499" t="str">
        <f t="shared" si="331"/>
        <v/>
      </c>
      <c r="AO248" s="499" t="str">
        <f t="shared" si="331"/>
        <v/>
      </c>
      <c r="AP248" s="499" t="str">
        <f t="shared" si="331"/>
        <v/>
      </c>
      <c r="AQ248" s="499" t="str">
        <f t="shared" si="331"/>
        <v/>
      </c>
      <c r="AR248" s="499" t="str">
        <f t="shared" si="331"/>
        <v/>
      </c>
      <c r="AS248" s="499">
        <f t="shared" si="331"/>
        <v>459.625</v>
      </c>
      <c r="AT248" s="499" t="str">
        <f t="shared" si="331"/>
        <v/>
      </c>
      <c r="AU248" s="499">
        <f t="shared" si="331"/>
        <v>3404.375</v>
      </c>
      <c r="AV248" s="499" t="str">
        <f t="shared" si="331"/>
        <v/>
      </c>
      <c r="AW248" s="499" t="str">
        <f t="shared" si="331"/>
        <v/>
      </c>
      <c r="AX248" s="499" t="str">
        <f t="shared" si="331"/>
        <v/>
      </c>
      <c r="AY248" s="499">
        <f t="shared" si="331"/>
        <v>183383.0625</v>
      </c>
      <c r="AZ248" s="499" t="str">
        <f t="shared" si="331"/>
        <v/>
      </c>
      <c r="BA248" s="499" t="str">
        <f t="shared" si="331"/>
        <v/>
      </c>
      <c r="BB248" s="499">
        <f t="shared" si="331"/>
        <v>22732.6875</v>
      </c>
      <c r="BC248" s="499">
        <f t="shared" si="331"/>
        <v>239714.23076923078</v>
      </c>
      <c r="BD248" s="499" t="str">
        <f t="shared" si="331"/>
        <v/>
      </c>
      <c r="BE248" s="499" t="str">
        <f t="shared" si="331"/>
        <v/>
      </c>
      <c r="BF248" s="499" t="str">
        <f t="shared" si="331"/>
        <v/>
      </c>
      <c r="BG248" s="499" t="str">
        <f t="shared" si="331"/>
        <v/>
      </c>
      <c r="BH248" s="499" t="str">
        <f t="shared" si="331"/>
        <v/>
      </c>
      <c r="BI248" s="499" t="str">
        <f t="shared" si="331"/>
        <v/>
      </c>
      <c r="BJ248" s="499" t="str">
        <f t="shared" si="331"/>
        <v/>
      </c>
      <c r="BK248" s="499" t="str">
        <f t="shared" si="331"/>
        <v/>
      </c>
      <c r="BL248" s="499" t="str">
        <f t="shared" si="331"/>
        <v/>
      </c>
      <c r="BM248" s="499" t="str">
        <f t="shared" si="331"/>
        <v/>
      </c>
      <c r="BN248" s="499">
        <f t="shared" si="331"/>
        <v>0</v>
      </c>
      <c r="BO248" s="499" t="str">
        <f t="shared" ref="BO248:CT248" si="332">IF(BO168=1, BO$154/BO$156, "")</f>
        <v/>
      </c>
      <c r="BP248" s="499">
        <f t="shared" si="332"/>
        <v>187975</v>
      </c>
      <c r="BQ248" s="499" t="str">
        <f t="shared" si="332"/>
        <v/>
      </c>
      <c r="BR248" s="499" t="str">
        <f t="shared" si="332"/>
        <v/>
      </c>
      <c r="BS248" s="499" t="str">
        <f t="shared" si="332"/>
        <v/>
      </c>
      <c r="BT248" s="499" t="str">
        <f t="shared" si="332"/>
        <v/>
      </c>
      <c r="BU248" s="499">
        <f t="shared" si="332"/>
        <v>0</v>
      </c>
      <c r="BV248" s="499" t="str">
        <f t="shared" si="332"/>
        <v/>
      </c>
      <c r="BW248" s="499" t="str">
        <f t="shared" si="332"/>
        <v/>
      </c>
      <c r="BX248" s="499" t="str">
        <f t="shared" si="332"/>
        <v/>
      </c>
      <c r="BY248" s="499" t="str">
        <f t="shared" si="332"/>
        <v/>
      </c>
      <c r="BZ248" s="499" t="str">
        <f t="shared" si="332"/>
        <v/>
      </c>
      <c r="CA248" s="499" t="str">
        <f t="shared" si="332"/>
        <v/>
      </c>
      <c r="CB248" s="499" t="str">
        <f t="shared" si="332"/>
        <v/>
      </c>
      <c r="CC248" s="499">
        <f t="shared" si="332"/>
        <v>3941.9333333333334</v>
      </c>
      <c r="CD248" s="499" t="str">
        <f t="shared" si="332"/>
        <v/>
      </c>
      <c r="CE248" s="499" t="str">
        <f t="shared" si="332"/>
        <v/>
      </c>
      <c r="CF248" s="499">
        <f t="shared" si="332"/>
        <v>2980.7142857142858</v>
      </c>
      <c r="CG248" s="499" t="str">
        <f t="shared" si="332"/>
        <v/>
      </c>
      <c r="CH248" s="499" t="str">
        <f t="shared" si="332"/>
        <v/>
      </c>
      <c r="CI248" s="499" t="str">
        <f t="shared" si="332"/>
        <v/>
      </c>
      <c r="CJ248" s="499" t="str">
        <f t="shared" si="332"/>
        <v/>
      </c>
      <c r="CK248" s="499" t="str">
        <f t="shared" si="332"/>
        <v/>
      </c>
      <c r="CL248" s="499" t="str">
        <f t="shared" si="332"/>
        <v/>
      </c>
      <c r="CM248" s="499" t="str">
        <f t="shared" si="332"/>
        <v/>
      </c>
      <c r="CN248" s="499" t="str">
        <f t="shared" si="332"/>
        <v/>
      </c>
      <c r="CO248" s="499">
        <f t="shared" si="332"/>
        <v>5000</v>
      </c>
      <c r="CP248" s="499" t="str">
        <f t="shared" si="332"/>
        <v/>
      </c>
      <c r="CQ248" s="499" t="str">
        <f t="shared" si="332"/>
        <v/>
      </c>
      <c r="CR248" s="499" t="str">
        <f t="shared" si="332"/>
        <v/>
      </c>
      <c r="CS248" s="499" t="str">
        <f t="shared" si="332"/>
        <v/>
      </c>
      <c r="CT248" s="499" t="str">
        <f t="shared" si="332"/>
        <v/>
      </c>
      <c r="CU248" s="499" t="str">
        <f t="shared" ref="CU248:DZ248" si="333">IF(CU168=1, CU$154/CU$156, "")</f>
        <v/>
      </c>
      <c r="CV248" s="499" t="str">
        <f t="shared" si="333"/>
        <v/>
      </c>
      <c r="CW248" s="499">
        <f t="shared" si="333"/>
        <v>450726.33333333331</v>
      </c>
      <c r="CX248" s="499">
        <f t="shared" si="333"/>
        <v>31072.777000000002</v>
      </c>
      <c r="CY248" s="499" t="str">
        <f t="shared" si="333"/>
        <v/>
      </c>
      <c r="CZ248" s="499" t="str">
        <f t="shared" si="333"/>
        <v/>
      </c>
      <c r="DA248" s="499" t="str">
        <f t="shared" si="333"/>
        <v/>
      </c>
      <c r="DB248" s="499">
        <f t="shared" si="333"/>
        <v>0</v>
      </c>
      <c r="DC248" s="499">
        <f t="shared" si="333"/>
        <v>232699.375</v>
      </c>
      <c r="DD248" s="499" t="str">
        <f t="shared" si="333"/>
        <v/>
      </c>
      <c r="DE248" s="499">
        <f t="shared" si="333"/>
        <v>0</v>
      </c>
      <c r="DF248" s="499" t="str">
        <f t="shared" si="333"/>
        <v/>
      </c>
      <c r="DG248" s="499" t="str">
        <f t="shared" si="333"/>
        <v/>
      </c>
      <c r="DH248" s="499" t="str">
        <f t="shared" si="333"/>
        <v/>
      </c>
      <c r="DI248" s="499">
        <f t="shared" si="333"/>
        <v>0</v>
      </c>
      <c r="DJ248" s="499" t="str">
        <f t="shared" si="333"/>
        <v/>
      </c>
      <c r="DK248" s="499">
        <f t="shared" si="333"/>
        <v>250</v>
      </c>
      <c r="DL248" s="499" t="str">
        <f t="shared" si="333"/>
        <v/>
      </c>
      <c r="DM248" s="499" t="str">
        <f t="shared" si="333"/>
        <v/>
      </c>
      <c r="DN248" s="499" t="str">
        <f t="shared" si="333"/>
        <v/>
      </c>
      <c r="DO248" s="499" t="str">
        <f t="shared" si="333"/>
        <v/>
      </c>
      <c r="DP248" s="499" t="str">
        <f t="shared" si="333"/>
        <v/>
      </c>
      <c r="DQ248" s="499" t="str">
        <f t="shared" si="333"/>
        <v/>
      </c>
      <c r="DR248" s="499" t="str">
        <f t="shared" si="333"/>
        <v/>
      </c>
      <c r="DS248" s="499" t="str">
        <f t="shared" si="333"/>
        <v/>
      </c>
      <c r="DT248" s="499">
        <f t="shared" si="333"/>
        <v>142538</v>
      </c>
      <c r="DU248" s="499" t="str">
        <f t="shared" si="333"/>
        <v/>
      </c>
      <c r="DV248" s="499" t="str">
        <f t="shared" si="333"/>
        <v/>
      </c>
      <c r="DW248" s="499" t="str">
        <f t="shared" si="333"/>
        <v/>
      </c>
      <c r="DX248" s="499" t="str">
        <f t="shared" si="333"/>
        <v/>
      </c>
      <c r="DY248" s="499" t="str">
        <f t="shared" si="333"/>
        <v/>
      </c>
      <c r="DZ248" s="499" t="str">
        <f t="shared" si="333"/>
        <v/>
      </c>
      <c r="EA248" s="499" t="str">
        <f t="shared" ref="EA248:EI248" si="334">IF(EA168=1, EA$154/EA$156, "")</f>
        <v/>
      </c>
      <c r="EB248" s="499" t="str">
        <f t="shared" si="334"/>
        <v/>
      </c>
      <c r="EC248" s="499" t="str">
        <f t="shared" si="334"/>
        <v/>
      </c>
      <c r="ED248" s="499" t="str">
        <f t="shared" si="334"/>
        <v/>
      </c>
      <c r="EE248" s="499">
        <f t="shared" si="334"/>
        <v>2612500</v>
      </c>
      <c r="EF248" s="499" t="str">
        <f t="shared" si="334"/>
        <v/>
      </c>
      <c r="EG248" s="499">
        <f t="shared" si="334"/>
        <v>15000</v>
      </c>
      <c r="EH248" s="499">
        <f t="shared" si="334"/>
        <v>125886.25</v>
      </c>
      <c r="EI248" s="499">
        <f t="shared" si="334"/>
        <v>44272.727272727272</v>
      </c>
      <c r="EJ248" s="499">
        <f t="shared" si="289"/>
        <v>7223502.5743276719</v>
      </c>
      <c r="EK248" s="67"/>
      <c r="EL248" s="67"/>
      <c r="EM248" s="67"/>
      <c r="EN248" s="67"/>
      <c r="EO248" s="67"/>
      <c r="EP248" s="67"/>
      <c r="EQ248" s="67"/>
      <c r="ER248" s="67"/>
      <c r="ES248" s="67"/>
      <c r="ET248" s="67"/>
      <c r="EU248" s="67"/>
      <c r="EV248" s="67"/>
      <c r="EW248" s="67"/>
      <c r="EX248" s="67"/>
      <c r="EY248" s="67"/>
      <c r="EZ248" s="67"/>
    </row>
    <row r="249" spans="1:156">
      <c r="B249" s="500" t="s">
        <v>91</v>
      </c>
      <c r="C249" s="499" t="str">
        <f t="shared" ref="C249:AH249" si="335">IF(C169=1, C$154/C$156, "")</f>
        <v/>
      </c>
      <c r="D249" s="499" t="str">
        <f t="shared" si="335"/>
        <v/>
      </c>
      <c r="E249" s="499" t="str">
        <f t="shared" si="335"/>
        <v/>
      </c>
      <c r="F249" s="499" t="str">
        <f t="shared" si="335"/>
        <v/>
      </c>
      <c r="G249" s="499" t="str">
        <f t="shared" si="335"/>
        <v/>
      </c>
      <c r="H249" s="499">
        <f t="shared" si="335"/>
        <v>0</v>
      </c>
      <c r="I249" s="499" t="str">
        <f t="shared" si="335"/>
        <v/>
      </c>
      <c r="J249" s="499" t="str">
        <f t="shared" si="335"/>
        <v/>
      </c>
      <c r="K249" s="499" t="str">
        <f t="shared" si="335"/>
        <v/>
      </c>
      <c r="L249" s="499" t="str">
        <f t="shared" si="335"/>
        <v/>
      </c>
      <c r="M249" s="499" t="str">
        <f t="shared" si="335"/>
        <v/>
      </c>
      <c r="N249" s="499">
        <f t="shared" si="335"/>
        <v>0</v>
      </c>
      <c r="O249" s="499" t="str">
        <f t="shared" si="335"/>
        <v/>
      </c>
      <c r="P249" s="499" t="str">
        <f t="shared" si="335"/>
        <v/>
      </c>
      <c r="Q249" s="499" t="str">
        <f t="shared" si="335"/>
        <v/>
      </c>
      <c r="R249" s="499" t="str">
        <f t="shared" si="335"/>
        <v/>
      </c>
      <c r="S249" s="499">
        <f t="shared" si="335"/>
        <v>378868.80200000003</v>
      </c>
      <c r="T249" s="499" t="str">
        <f t="shared" si="335"/>
        <v/>
      </c>
      <c r="U249" s="499" t="str">
        <f t="shared" si="335"/>
        <v/>
      </c>
      <c r="V249" s="499" t="str">
        <f t="shared" si="335"/>
        <v/>
      </c>
      <c r="W249" s="499" t="str">
        <f t="shared" si="335"/>
        <v/>
      </c>
      <c r="X249" s="499">
        <f t="shared" si="335"/>
        <v>1531250</v>
      </c>
      <c r="Y249" s="499" t="str">
        <f t="shared" si="335"/>
        <v/>
      </c>
      <c r="Z249" s="499">
        <f t="shared" si="335"/>
        <v>1666.6666666666667</v>
      </c>
      <c r="AA249" s="499">
        <f t="shared" si="335"/>
        <v>357986.66666666669</v>
      </c>
      <c r="AB249" s="499" t="str">
        <f t="shared" si="335"/>
        <v/>
      </c>
      <c r="AC249" s="499" t="str">
        <f t="shared" si="335"/>
        <v/>
      </c>
      <c r="AD249" s="499" t="str">
        <f t="shared" si="335"/>
        <v/>
      </c>
      <c r="AE249" s="499" t="str">
        <f t="shared" si="335"/>
        <v/>
      </c>
      <c r="AF249" s="499" t="str">
        <f t="shared" si="335"/>
        <v/>
      </c>
      <c r="AG249" s="499" t="str">
        <f t="shared" si="335"/>
        <v/>
      </c>
      <c r="AH249" s="499">
        <f t="shared" si="335"/>
        <v>0</v>
      </c>
      <c r="AI249" s="499" t="str">
        <f t="shared" ref="AI249:BN249" si="336">IF(AI169=1, AI$154/AI$156, "")</f>
        <v/>
      </c>
      <c r="AJ249" s="499" t="str">
        <f t="shared" si="336"/>
        <v/>
      </c>
      <c r="AK249" s="499">
        <f t="shared" si="336"/>
        <v>304189.51400000002</v>
      </c>
      <c r="AL249" s="499" t="str">
        <f t="shared" si="336"/>
        <v/>
      </c>
      <c r="AM249" s="499">
        <f t="shared" si="336"/>
        <v>104433.6673333334</v>
      </c>
      <c r="AN249" s="499" t="str">
        <f t="shared" si="336"/>
        <v/>
      </c>
      <c r="AO249" s="499" t="str">
        <f t="shared" si="336"/>
        <v/>
      </c>
      <c r="AP249" s="499" t="str">
        <f t="shared" si="336"/>
        <v/>
      </c>
      <c r="AQ249" s="499" t="str">
        <f t="shared" si="336"/>
        <v/>
      </c>
      <c r="AR249" s="499" t="str">
        <f t="shared" si="336"/>
        <v/>
      </c>
      <c r="AS249" s="499">
        <f t="shared" si="336"/>
        <v>459.625</v>
      </c>
      <c r="AT249" s="499" t="str">
        <f t="shared" si="336"/>
        <v/>
      </c>
      <c r="AU249" s="499">
        <f t="shared" si="336"/>
        <v>3404.375</v>
      </c>
      <c r="AV249" s="499" t="str">
        <f t="shared" si="336"/>
        <v/>
      </c>
      <c r="AW249" s="499" t="str">
        <f t="shared" si="336"/>
        <v/>
      </c>
      <c r="AX249" s="499" t="str">
        <f t="shared" si="336"/>
        <v/>
      </c>
      <c r="AY249" s="499">
        <f t="shared" si="336"/>
        <v>183383.0625</v>
      </c>
      <c r="AZ249" s="499" t="str">
        <f t="shared" si="336"/>
        <v/>
      </c>
      <c r="BA249" s="499">
        <f t="shared" si="336"/>
        <v>1250</v>
      </c>
      <c r="BB249" s="499">
        <f t="shared" si="336"/>
        <v>22732.6875</v>
      </c>
      <c r="BC249" s="499">
        <f t="shared" si="336"/>
        <v>239714.23076923078</v>
      </c>
      <c r="BD249" s="499">
        <f t="shared" si="336"/>
        <v>252059.28571428571</v>
      </c>
      <c r="BE249" s="499" t="str">
        <f t="shared" si="336"/>
        <v/>
      </c>
      <c r="BF249" s="499" t="str">
        <f t="shared" si="336"/>
        <v/>
      </c>
      <c r="BG249" s="499" t="str">
        <f t="shared" si="336"/>
        <v/>
      </c>
      <c r="BH249" s="499" t="str">
        <f t="shared" si="336"/>
        <v/>
      </c>
      <c r="BI249" s="499" t="str">
        <f t="shared" si="336"/>
        <v/>
      </c>
      <c r="BJ249" s="499" t="str">
        <f t="shared" si="336"/>
        <v/>
      </c>
      <c r="BK249" s="499" t="str">
        <f t="shared" si="336"/>
        <v/>
      </c>
      <c r="BL249" s="499" t="str">
        <f t="shared" si="336"/>
        <v/>
      </c>
      <c r="BM249" s="499" t="str">
        <f t="shared" si="336"/>
        <v/>
      </c>
      <c r="BN249" s="499">
        <f t="shared" si="336"/>
        <v>0</v>
      </c>
      <c r="BO249" s="499" t="str">
        <f t="shared" ref="BO249:CT249" si="337">IF(BO169=1, BO$154/BO$156, "")</f>
        <v/>
      </c>
      <c r="BP249" s="499">
        <f t="shared" si="337"/>
        <v>187975</v>
      </c>
      <c r="BQ249" s="499" t="str">
        <f t="shared" si="337"/>
        <v/>
      </c>
      <c r="BR249" s="499" t="str">
        <f t="shared" si="337"/>
        <v/>
      </c>
      <c r="BS249" s="499" t="str">
        <f t="shared" si="337"/>
        <v/>
      </c>
      <c r="BT249" s="499" t="str">
        <f t="shared" si="337"/>
        <v/>
      </c>
      <c r="BU249" s="499">
        <f t="shared" si="337"/>
        <v>0</v>
      </c>
      <c r="BV249" s="499" t="str">
        <f t="shared" si="337"/>
        <v/>
      </c>
      <c r="BW249" s="499" t="str">
        <f t="shared" si="337"/>
        <v/>
      </c>
      <c r="BX249" s="499" t="str">
        <f t="shared" si="337"/>
        <v/>
      </c>
      <c r="BY249" s="499" t="str">
        <f t="shared" si="337"/>
        <v/>
      </c>
      <c r="BZ249" s="499" t="str">
        <f t="shared" si="337"/>
        <v/>
      </c>
      <c r="CA249" s="499" t="str">
        <f t="shared" si="337"/>
        <v/>
      </c>
      <c r="CB249" s="499" t="str">
        <f t="shared" si="337"/>
        <v/>
      </c>
      <c r="CC249" s="499">
        <f t="shared" si="337"/>
        <v>3941.9333333333334</v>
      </c>
      <c r="CD249" s="499" t="str">
        <f t="shared" si="337"/>
        <v/>
      </c>
      <c r="CE249" s="499" t="str">
        <f t="shared" si="337"/>
        <v/>
      </c>
      <c r="CF249" s="499">
        <f t="shared" si="337"/>
        <v>2980.7142857142858</v>
      </c>
      <c r="CG249" s="499">
        <f t="shared" si="337"/>
        <v>1255960.6666666667</v>
      </c>
      <c r="CH249" s="499" t="str">
        <f t="shared" si="337"/>
        <v/>
      </c>
      <c r="CI249" s="499">
        <f t="shared" si="337"/>
        <v>0</v>
      </c>
      <c r="CJ249" s="499" t="str">
        <f t="shared" si="337"/>
        <v/>
      </c>
      <c r="CK249" s="499">
        <f t="shared" si="337"/>
        <v>287894.55555555556</v>
      </c>
      <c r="CL249" s="499" t="str">
        <f t="shared" si="337"/>
        <v/>
      </c>
      <c r="CM249" s="499" t="str">
        <f t="shared" si="337"/>
        <v/>
      </c>
      <c r="CN249" s="499" t="str">
        <f t="shared" si="337"/>
        <v/>
      </c>
      <c r="CO249" s="499">
        <f t="shared" si="337"/>
        <v>5000</v>
      </c>
      <c r="CP249" s="499" t="str">
        <f t="shared" si="337"/>
        <v/>
      </c>
      <c r="CQ249" s="499" t="str">
        <f t="shared" si="337"/>
        <v/>
      </c>
      <c r="CR249" s="499" t="str">
        <f t="shared" si="337"/>
        <v/>
      </c>
      <c r="CS249" s="499" t="str">
        <f t="shared" si="337"/>
        <v/>
      </c>
      <c r="CT249" s="499" t="str">
        <f t="shared" si="337"/>
        <v/>
      </c>
      <c r="CU249" s="499" t="str">
        <f t="shared" ref="CU249:DZ249" si="338">IF(CU169=1, CU$154/CU$156, "")</f>
        <v/>
      </c>
      <c r="CV249" s="499" t="str">
        <f t="shared" si="338"/>
        <v/>
      </c>
      <c r="CW249" s="499">
        <f t="shared" si="338"/>
        <v>450726.33333333331</v>
      </c>
      <c r="CX249" s="499">
        <f t="shared" si="338"/>
        <v>31072.777000000002</v>
      </c>
      <c r="CY249" s="499" t="str">
        <f t="shared" si="338"/>
        <v/>
      </c>
      <c r="CZ249" s="499" t="str">
        <f t="shared" si="338"/>
        <v/>
      </c>
      <c r="DA249" s="499" t="str">
        <f t="shared" si="338"/>
        <v/>
      </c>
      <c r="DB249" s="499">
        <f t="shared" si="338"/>
        <v>0</v>
      </c>
      <c r="DC249" s="499">
        <f t="shared" si="338"/>
        <v>232699.375</v>
      </c>
      <c r="DD249" s="499" t="str">
        <f t="shared" si="338"/>
        <v/>
      </c>
      <c r="DE249" s="499">
        <f t="shared" si="338"/>
        <v>0</v>
      </c>
      <c r="DF249" s="499">
        <f t="shared" si="338"/>
        <v>9030</v>
      </c>
      <c r="DG249" s="499" t="str">
        <f t="shared" si="338"/>
        <v/>
      </c>
      <c r="DH249" s="499" t="str">
        <f t="shared" si="338"/>
        <v/>
      </c>
      <c r="DI249" s="499">
        <f t="shared" si="338"/>
        <v>0</v>
      </c>
      <c r="DJ249" s="499" t="str">
        <f t="shared" si="338"/>
        <v/>
      </c>
      <c r="DK249" s="499">
        <f t="shared" si="338"/>
        <v>250</v>
      </c>
      <c r="DL249" s="499" t="str">
        <f t="shared" si="338"/>
        <v/>
      </c>
      <c r="DM249" s="499" t="str">
        <f t="shared" si="338"/>
        <v/>
      </c>
      <c r="DN249" s="499" t="str">
        <f t="shared" si="338"/>
        <v/>
      </c>
      <c r="DO249" s="499" t="str">
        <f t="shared" si="338"/>
        <v/>
      </c>
      <c r="DP249" s="499" t="str">
        <f t="shared" si="338"/>
        <v/>
      </c>
      <c r="DQ249" s="499" t="str">
        <f t="shared" si="338"/>
        <v/>
      </c>
      <c r="DR249" s="499" t="str">
        <f t="shared" si="338"/>
        <v/>
      </c>
      <c r="DS249" s="499" t="str">
        <f t="shared" si="338"/>
        <v/>
      </c>
      <c r="DT249" s="499">
        <f t="shared" si="338"/>
        <v>142538</v>
      </c>
      <c r="DU249" s="499" t="str">
        <f t="shared" si="338"/>
        <v/>
      </c>
      <c r="DV249" s="499" t="str">
        <f t="shared" si="338"/>
        <v/>
      </c>
      <c r="DW249" s="499">
        <f t="shared" si="338"/>
        <v>17617323.25</v>
      </c>
      <c r="DX249" s="499" t="str">
        <f t="shared" si="338"/>
        <v/>
      </c>
      <c r="DY249" s="499" t="str">
        <f t="shared" si="338"/>
        <v/>
      </c>
      <c r="DZ249" s="499" t="str">
        <f t="shared" si="338"/>
        <v/>
      </c>
      <c r="EA249" s="499" t="str">
        <f t="shared" ref="EA249:EI249" si="339">IF(EA169=1, EA$154/EA$156, "")</f>
        <v/>
      </c>
      <c r="EB249" s="499" t="str">
        <f t="shared" si="339"/>
        <v/>
      </c>
      <c r="EC249" s="499" t="str">
        <f t="shared" si="339"/>
        <v/>
      </c>
      <c r="ED249" s="499" t="str">
        <f t="shared" si="339"/>
        <v/>
      </c>
      <c r="EE249" s="499">
        <f t="shared" si="339"/>
        <v>2612500</v>
      </c>
      <c r="EF249" s="499" t="str">
        <f t="shared" si="339"/>
        <v/>
      </c>
      <c r="EG249" s="499">
        <f t="shared" si="339"/>
        <v>15000</v>
      </c>
      <c r="EH249" s="499">
        <f t="shared" si="339"/>
        <v>125886.25</v>
      </c>
      <c r="EI249" s="499">
        <f t="shared" si="339"/>
        <v>44272.727272727272</v>
      </c>
      <c r="EJ249" s="499">
        <f t="shared" si="289"/>
        <v>26406450.165597513</v>
      </c>
      <c r="EK249" s="67"/>
      <c r="EL249" s="67"/>
      <c r="EM249" s="67"/>
      <c r="EN249" s="67"/>
      <c r="EO249" s="67"/>
      <c r="EP249" s="67"/>
      <c r="EQ249" s="67"/>
      <c r="ER249" s="67"/>
      <c r="ES249" s="67"/>
      <c r="ET249" s="67"/>
      <c r="EU249" s="67"/>
      <c r="EV249" s="67"/>
      <c r="EW249" s="67"/>
      <c r="EX249" s="67"/>
      <c r="EY249" s="67"/>
      <c r="EZ249" s="67"/>
    </row>
    <row r="250" spans="1:156">
      <c r="B250" s="500" t="s">
        <v>100</v>
      </c>
      <c r="C250" s="499" t="str">
        <f t="shared" ref="C250:AH250" si="340">IF(C170=1, C$154/C$156, "")</f>
        <v/>
      </c>
      <c r="D250" s="499" t="str">
        <f t="shared" si="340"/>
        <v/>
      </c>
      <c r="E250" s="499" t="str">
        <f t="shared" si="340"/>
        <v/>
      </c>
      <c r="F250" s="499" t="str">
        <f t="shared" si="340"/>
        <v/>
      </c>
      <c r="G250" s="499" t="str">
        <f t="shared" si="340"/>
        <v/>
      </c>
      <c r="H250" s="499">
        <f t="shared" si="340"/>
        <v>0</v>
      </c>
      <c r="I250" s="499" t="str">
        <f t="shared" si="340"/>
        <v/>
      </c>
      <c r="J250" s="499" t="str">
        <f t="shared" si="340"/>
        <v/>
      </c>
      <c r="K250" s="499" t="str">
        <f t="shared" si="340"/>
        <v/>
      </c>
      <c r="L250" s="499" t="str">
        <f t="shared" si="340"/>
        <v/>
      </c>
      <c r="M250" s="499" t="str">
        <f t="shared" si="340"/>
        <v/>
      </c>
      <c r="N250" s="499" t="str">
        <f t="shared" si="340"/>
        <v/>
      </c>
      <c r="O250" s="499" t="str">
        <f t="shared" si="340"/>
        <v/>
      </c>
      <c r="P250" s="499" t="str">
        <f t="shared" si="340"/>
        <v/>
      </c>
      <c r="Q250" s="499" t="str">
        <f t="shared" si="340"/>
        <v/>
      </c>
      <c r="R250" s="499" t="str">
        <f t="shared" si="340"/>
        <v/>
      </c>
      <c r="S250" s="499">
        <f t="shared" si="340"/>
        <v>378868.80200000003</v>
      </c>
      <c r="T250" s="499" t="str">
        <f t="shared" si="340"/>
        <v/>
      </c>
      <c r="U250" s="499">
        <f t="shared" si="340"/>
        <v>155350</v>
      </c>
      <c r="V250" s="499" t="str">
        <f t="shared" si="340"/>
        <v/>
      </c>
      <c r="W250" s="499" t="str">
        <f t="shared" si="340"/>
        <v/>
      </c>
      <c r="X250" s="499">
        <f t="shared" si="340"/>
        <v>1531250</v>
      </c>
      <c r="Y250" s="499" t="str">
        <f t="shared" si="340"/>
        <v/>
      </c>
      <c r="Z250" s="499">
        <f t="shared" si="340"/>
        <v>1666.6666666666667</v>
      </c>
      <c r="AA250" s="499" t="str">
        <f t="shared" si="340"/>
        <v/>
      </c>
      <c r="AB250" s="499" t="str">
        <f t="shared" si="340"/>
        <v/>
      </c>
      <c r="AC250" s="499" t="str">
        <f t="shared" si="340"/>
        <v/>
      </c>
      <c r="AD250" s="499">
        <f t="shared" si="340"/>
        <v>218950</v>
      </c>
      <c r="AE250" s="499" t="str">
        <f t="shared" si="340"/>
        <v/>
      </c>
      <c r="AF250" s="499" t="str">
        <f t="shared" si="340"/>
        <v/>
      </c>
      <c r="AG250" s="499">
        <f t="shared" si="340"/>
        <v>170137.5</v>
      </c>
      <c r="AH250" s="499">
        <f t="shared" si="340"/>
        <v>0</v>
      </c>
      <c r="AI250" s="499">
        <f t="shared" ref="AI250:BN250" si="341">IF(AI170=1, AI$154/AI$156, "")</f>
        <v>0</v>
      </c>
      <c r="AJ250" s="499" t="str">
        <f t="shared" si="341"/>
        <v/>
      </c>
      <c r="AK250" s="499">
        <f t="shared" si="341"/>
        <v>304189.51400000002</v>
      </c>
      <c r="AL250" s="499" t="str">
        <f t="shared" si="341"/>
        <v/>
      </c>
      <c r="AM250" s="499">
        <f t="shared" si="341"/>
        <v>104433.6673333334</v>
      </c>
      <c r="AN250" s="499" t="str">
        <f t="shared" si="341"/>
        <v/>
      </c>
      <c r="AO250" s="499" t="str">
        <f t="shared" si="341"/>
        <v/>
      </c>
      <c r="AP250" s="499" t="str">
        <f t="shared" si="341"/>
        <v/>
      </c>
      <c r="AQ250" s="499" t="str">
        <f t="shared" si="341"/>
        <v/>
      </c>
      <c r="AR250" s="499" t="str">
        <f t="shared" si="341"/>
        <v/>
      </c>
      <c r="AS250" s="499">
        <f t="shared" si="341"/>
        <v>459.625</v>
      </c>
      <c r="AT250" s="499" t="str">
        <f t="shared" si="341"/>
        <v/>
      </c>
      <c r="AU250" s="499">
        <f t="shared" si="341"/>
        <v>3404.375</v>
      </c>
      <c r="AV250" s="499">
        <f t="shared" si="341"/>
        <v>373.5</v>
      </c>
      <c r="AW250" s="499">
        <f t="shared" si="341"/>
        <v>1000</v>
      </c>
      <c r="AX250" s="499" t="str">
        <f t="shared" si="341"/>
        <v/>
      </c>
      <c r="AY250" s="499">
        <f t="shared" si="341"/>
        <v>183383.0625</v>
      </c>
      <c r="AZ250" s="499">
        <f t="shared" si="341"/>
        <v>45282.285714285717</v>
      </c>
      <c r="BA250" s="499">
        <f t="shared" si="341"/>
        <v>1250</v>
      </c>
      <c r="BB250" s="499">
        <f t="shared" si="341"/>
        <v>22732.6875</v>
      </c>
      <c r="BC250" s="499">
        <f t="shared" si="341"/>
        <v>239714.23076923078</v>
      </c>
      <c r="BD250" s="499">
        <f t="shared" si="341"/>
        <v>252059.28571428571</v>
      </c>
      <c r="BE250" s="499">
        <f t="shared" si="341"/>
        <v>8400</v>
      </c>
      <c r="BF250" s="499">
        <f t="shared" si="341"/>
        <v>59666.666666666664</v>
      </c>
      <c r="BG250" s="499">
        <f t="shared" si="341"/>
        <v>504875</v>
      </c>
      <c r="BH250" s="499" t="str">
        <f t="shared" si="341"/>
        <v/>
      </c>
      <c r="BI250" s="499" t="str">
        <f t="shared" si="341"/>
        <v/>
      </c>
      <c r="BJ250" s="499" t="str">
        <f t="shared" si="341"/>
        <v/>
      </c>
      <c r="BK250" s="499" t="str">
        <f t="shared" si="341"/>
        <v/>
      </c>
      <c r="BL250" s="499" t="str">
        <f t="shared" si="341"/>
        <v/>
      </c>
      <c r="BM250" s="499" t="str">
        <f t="shared" si="341"/>
        <v/>
      </c>
      <c r="BN250" s="499">
        <f t="shared" si="341"/>
        <v>0</v>
      </c>
      <c r="BO250" s="499" t="str">
        <f t="shared" ref="BO250:CT250" si="342">IF(BO170=1, BO$154/BO$156, "")</f>
        <v/>
      </c>
      <c r="BP250" s="499">
        <f t="shared" si="342"/>
        <v>187975</v>
      </c>
      <c r="BQ250" s="499" t="str">
        <f t="shared" si="342"/>
        <v/>
      </c>
      <c r="BR250" s="499" t="str">
        <f t="shared" si="342"/>
        <v/>
      </c>
      <c r="BS250" s="499" t="str">
        <f t="shared" si="342"/>
        <v/>
      </c>
      <c r="BT250" s="499" t="str">
        <f t="shared" si="342"/>
        <v/>
      </c>
      <c r="BU250" s="499">
        <f t="shared" si="342"/>
        <v>0</v>
      </c>
      <c r="BV250" s="499" t="str">
        <f t="shared" si="342"/>
        <v/>
      </c>
      <c r="BW250" s="499" t="str">
        <f t="shared" si="342"/>
        <v/>
      </c>
      <c r="BX250" s="499" t="str">
        <f t="shared" si="342"/>
        <v/>
      </c>
      <c r="BY250" s="499" t="str">
        <f t="shared" si="342"/>
        <v/>
      </c>
      <c r="BZ250" s="499" t="str">
        <f t="shared" si="342"/>
        <v/>
      </c>
      <c r="CA250" s="499" t="str">
        <f t="shared" si="342"/>
        <v/>
      </c>
      <c r="CB250" s="499" t="str">
        <f t="shared" si="342"/>
        <v/>
      </c>
      <c r="CC250" s="499">
        <f t="shared" si="342"/>
        <v>3941.9333333333334</v>
      </c>
      <c r="CD250" s="499" t="str">
        <f t="shared" si="342"/>
        <v/>
      </c>
      <c r="CE250" s="499" t="str">
        <f t="shared" si="342"/>
        <v/>
      </c>
      <c r="CF250" s="499">
        <f t="shared" si="342"/>
        <v>2980.7142857142858</v>
      </c>
      <c r="CG250" s="499">
        <f t="shared" si="342"/>
        <v>1255960.6666666667</v>
      </c>
      <c r="CH250" s="499" t="str">
        <f t="shared" si="342"/>
        <v/>
      </c>
      <c r="CI250" s="499">
        <f t="shared" si="342"/>
        <v>0</v>
      </c>
      <c r="CJ250" s="499" t="str">
        <f t="shared" si="342"/>
        <v/>
      </c>
      <c r="CK250" s="499">
        <f t="shared" si="342"/>
        <v>287894.55555555556</v>
      </c>
      <c r="CL250" s="499" t="str">
        <f t="shared" si="342"/>
        <v/>
      </c>
      <c r="CM250" s="499" t="str">
        <f t="shared" si="342"/>
        <v/>
      </c>
      <c r="CN250" s="499">
        <f t="shared" si="342"/>
        <v>247752</v>
      </c>
      <c r="CO250" s="499">
        <f t="shared" si="342"/>
        <v>5000</v>
      </c>
      <c r="CP250" s="499" t="str">
        <f t="shared" si="342"/>
        <v/>
      </c>
      <c r="CQ250" s="499" t="str">
        <f t="shared" si="342"/>
        <v/>
      </c>
      <c r="CR250" s="499" t="str">
        <f t="shared" si="342"/>
        <v/>
      </c>
      <c r="CS250" s="499" t="str">
        <f t="shared" si="342"/>
        <v/>
      </c>
      <c r="CT250" s="499" t="str">
        <f t="shared" si="342"/>
        <v/>
      </c>
      <c r="CU250" s="499" t="str">
        <f t="shared" ref="CU250:DZ250" si="343">IF(CU170=1, CU$154/CU$156, "")</f>
        <v/>
      </c>
      <c r="CV250" s="499" t="str">
        <f t="shared" si="343"/>
        <v/>
      </c>
      <c r="CW250" s="499">
        <f t="shared" si="343"/>
        <v>450726.33333333331</v>
      </c>
      <c r="CX250" s="499">
        <f t="shared" si="343"/>
        <v>31072.777000000002</v>
      </c>
      <c r="CY250" s="499" t="str">
        <f t="shared" si="343"/>
        <v/>
      </c>
      <c r="CZ250" s="499" t="str">
        <f t="shared" si="343"/>
        <v/>
      </c>
      <c r="DA250" s="499" t="str">
        <f t="shared" si="343"/>
        <v/>
      </c>
      <c r="DB250" s="499">
        <f t="shared" si="343"/>
        <v>0</v>
      </c>
      <c r="DC250" s="499">
        <f t="shared" si="343"/>
        <v>232699.375</v>
      </c>
      <c r="DD250" s="499" t="str">
        <f t="shared" si="343"/>
        <v/>
      </c>
      <c r="DE250" s="499">
        <f t="shared" si="343"/>
        <v>0</v>
      </c>
      <c r="DF250" s="499" t="str">
        <f t="shared" si="343"/>
        <v/>
      </c>
      <c r="DG250" s="499" t="str">
        <f t="shared" si="343"/>
        <v/>
      </c>
      <c r="DH250" s="499" t="str">
        <f t="shared" si="343"/>
        <v/>
      </c>
      <c r="DI250" s="499">
        <f t="shared" si="343"/>
        <v>0</v>
      </c>
      <c r="DJ250" s="499" t="str">
        <f t="shared" si="343"/>
        <v/>
      </c>
      <c r="DK250" s="499">
        <f t="shared" si="343"/>
        <v>250</v>
      </c>
      <c r="DL250" s="499" t="str">
        <f t="shared" si="343"/>
        <v/>
      </c>
      <c r="DM250" s="499" t="str">
        <f t="shared" si="343"/>
        <v/>
      </c>
      <c r="DN250" s="499" t="str">
        <f t="shared" si="343"/>
        <v/>
      </c>
      <c r="DO250" s="499" t="str">
        <f t="shared" si="343"/>
        <v/>
      </c>
      <c r="DP250" s="499" t="str">
        <f t="shared" si="343"/>
        <v/>
      </c>
      <c r="DQ250" s="499" t="str">
        <f t="shared" si="343"/>
        <v/>
      </c>
      <c r="DR250" s="499" t="str">
        <f t="shared" si="343"/>
        <v/>
      </c>
      <c r="DS250" s="499" t="str">
        <f t="shared" si="343"/>
        <v/>
      </c>
      <c r="DT250" s="499">
        <f t="shared" si="343"/>
        <v>142538</v>
      </c>
      <c r="DU250" s="499" t="str">
        <f t="shared" si="343"/>
        <v/>
      </c>
      <c r="DV250" s="499" t="str">
        <f t="shared" si="343"/>
        <v/>
      </c>
      <c r="DW250" s="499">
        <f t="shared" si="343"/>
        <v>17617323.25</v>
      </c>
      <c r="DX250" s="499" t="str">
        <f t="shared" si="343"/>
        <v/>
      </c>
      <c r="DY250" s="499" t="str">
        <f t="shared" si="343"/>
        <v/>
      </c>
      <c r="DZ250" s="499">
        <f t="shared" si="343"/>
        <v>31280</v>
      </c>
      <c r="EA250" s="499" t="str">
        <f t="shared" ref="EA250:EI250" si="344">IF(EA170=1, EA$154/EA$156, "")</f>
        <v/>
      </c>
      <c r="EB250" s="499" t="str">
        <f t="shared" si="344"/>
        <v/>
      </c>
      <c r="EC250" s="499" t="str">
        <f t="shared" si="344"/>
        <v/>
      </c>
      <c r="ED250" s="499" t="str">
        <f t="shared" si="344"/>
        <v/>
      </c>
      <c r="EE250" s="499">
        <f t="shared" si="344"/>
        <v>2612500</v>
      </c>
      <c r="EF250" s="499" t="str">
        <f t="shared" si="344"/>
        <v/>
      </c>
      <c r="EG250" s="499">
        <f t="shared" si="344"/>
        <v>15000</v>
      </c>
      <c r="EH250" s="499">
        <f t="shared" si="344"/>
        <v>125886.25</v>
      </c>
      <c r="EI250" s="499">
        <f t="shared" si="344"/>
        <v>44272.727272727272</v>
      </c>
      <c r="EJ250" s="499">
        <f t="shared" si="289"/>
        <v>27482500.451311801</v>
      </c>
      <c r="EK250" s="67"/>
      <c r="EL250" s="67"/>
      <c r="EM250" s="67"/>
      <c r="EN250" s="67"/>
      <c r="EO250" s="67"/>
      <c r="EP250" s="67"/>
      <c r="EQ250" s="67"/>
      <c r="ER250" s="67"/>
      <c r="ES250" s="67"/>
      <c r="ET250" s="67"/>
      <c r="EU250" s="67"/>
      <c r="EV250" s="67"/>
      <c r="EW250" s="67"/>
      <c r="EX250" s="67"/>
      <c r="EY250" s="67"/>
      <c r="EZ250" s="67"/>
    </row>
    <row r="251" spans="1:156">
      <c r="B251" s="500" t="s">
        <v>101</v>
      </c>
      <c r="C251" s="499" t="str">
        <f t="shared" ref="C251:AH251" si="345">IF(C171=1, C$154/C$156, "")</f>
        <v/>
      </c>
      <c r="D251" s="499" t="str">
        <f t="shared" si="345"/>
        <v/>
      </c>
      <c r="E251" s="499" t="str">
        <f t="shared" si="345"/>
        <v/>
      </c>
      <c r="F251" s="499" t="str">
        <f t="shared" si="345"/>
        <v/>
      </c>
      <c r="G251" s="499" t="str">
        <f t="shared" si="345"/>
        <v/>
      </c>
      <c r="H251" s="499">
        <f t="shared" si="345"/>
        <v>0</v>
      </c>
      <c r="I251" s="499" t="str">
        <f t="shared" si="345"/>
        <v/>
      </c>
      <c r="J251" s="499" t="str">
        <f t="shared" si="345"/>
        <v/>
      </c>
      <c r="K251" s="499" t="str">
        <f t="shared" si="345"/>
        <v/>
      </c>
      <c r="L251" s="499" t="str">
        <f t="shared" si="345"/>
        <v/>
      </c>
      <c r="M251" s="499" t="str">
        <f t="shared" si="345"/>
        <v/>
      </c>
      <c r="N251" s="499" t="str">
        <f t="shared" si="345"/>
        <v/>
      </c>
      <c r="O251" s="499" t="str">
        <f t="shared" si="345"/>
        <v/>
      </c>
      <c r="P251" s="499" t="str">
        <f t="shared" si="345"/>
        <v/>
      </c>
      <c r="Q251" s="499" t="str">
        <f t="shared" si="345"/>
        <v/>
      </c>
      <c r="R251" s="499" t="str">
        <f t="shared" si="345"/>
        <v/>
      </c>
      <c r="S251" s="499">
        <f t="shared" si="345"/>
        <v>378868.80200000003</v>
      </c>
      <c r="T251" s="499" t="str">
        <f t="shared" si="345"/>
        <v/>
      </c>
      <c r="U251" s="499">
        <f t="shared" si="345"/>
        <v>155350</v>
      </c>
      <c r="V251" s="499" t="str">
        <f t="shared" si="345"/>
        <v/>
      </c>
      <c r="W251" s="499" t="str">
        <f t="shared" si="345"/>
        <v/>
      </c>
      <c r="X251" s="499">
        <f t="shared" si="345"/>
        <v>1531250</v>
      </c>
      <c r="Y251" s="499" t="str">
        <f t="shared" si="345"/>
        <v/>
      </c>
      <c r="Z251" s="499">
        <f t="shared" si="345"/>
        <v>1666.6666666666667</v>
      </c>
      <c r="AA251" s="499" t="str">
        <f t="shared" si="345"/>
        <v/>
      </c>
      <c r="AB251" s="499" t="str">
        <f t="shared" si="345"/>
        <v/>
      </c>
      <c r="AC251" s="499" t="str">
        <f t="shared" si="345"/>
        <v/>
      </c>
      <c r="AD251" s="499">
        <f t="shared" si="345"/>
        <v>218950</v>
      </c>
      <c r="AE251" s="499" t="str">
        <f t="shared" si="345"/>
        <v/>
      </c>
      <c r="AF251" s="499" t="str">
        <f t="shared" si="345"/>
        <v/>
      </c>
      <c r="AG251" s="499">
        <f t="shared" si="345"/>
        <v>170137.5</v>
      </c>
      <c r="AH251" s="499">
        <f t="shared" si="345"/>
        <v>0</v>
      </c>
      <c r="AI251" s="499">
        <f t="shared" ref="AI251:BN251" si="346">IF(AI171=1, AI$154/AI$156, "")</f>
        <v>0</v>
      </c>
      <c r="AJ251" s="499" t="str">
        <f t="shared" si="346"/>
        <v/>
      </c>
      <c r="AK251" s="499">
        <f t="shared" si="346"/>
        <v>304189.51400000002</v>
      </c>
      <c r="AL251" s="499" t="str">
        <f t="shared" si="346"/>
        <v/>
      </c>
      <c r="AM251" s="499">
        <f t="shared" si="346"/>
        <v>104433.6673333334</v>
      </c>
      <c r="AN251" s="499" t="str">
        <f t="shared" si="346"/>
        <v/>
      </c>
      <c r="AO251" s="499" t="str">
        <f t="shared" si="346"/>
        <v/>
      </c>
      <c r="AP251" s="499" t="str">
        <f t="shared" si="346"/>
        <v/>
      </c>
      <c r="AQ251" s="499" t="str">
        <f t="shared" si="346"/>
        <v/>
      </c>
      <c r="AR251" s="499" t="str">
        <f t="shared" si="346"/>
        <v/>
      </c>
      <c r="AS251" s="499" t="str">
        <f t="shared" si="346"/>
        <v/>
      </c>
      <c r="AT251" s="499">
        <f t="shared" si="346"/>
        <v>3115</v>
      </c>
      <c r="AU251" s="499" t="str">
        <f t="shared" si="346"/>
        <v/>
      </c>
      <c r="AV251" s="499" t="str">
        <f t="shared" si="346"/>
        <v/>
      </c>
      <c r="AW251" s="499" t="str">
        <f t="shared" si="346"/>
        <v/>
      </c>
      <c r="AX251" s="499" t="str">
        <f t="shared" si="346"/>
        <v/>
      </c>
      <c r="AY251" s="499">
        <f t="shared" si="346"/>
        <v>183383.0625</v>
      </c>
      <c r="AZ251" s="499" t="str">
        <f t="shared" si="346"/>
        <v/>
      </c>
      <c r="BA251" s="499">
        <f t="shared" si="346"/>
        <v>1250</v>
      </c>
      <c r="BB251" s="499">
        <f t="shared" si="346"/>
        <v>22732.6875</v>
      </c>
      <c r="BC251" s="499">
        <f t="shared" si="346"/>
        <v>239714.23076923078</v>
      </c>
      <c r="BD251" s="499">
        <f t="shared" si="346"/>
        <v>252059.28571428571</v>
      </c>
      <c r="BE251" s="499" t="str">
        <f t="shared" si="346"/>
        <v/>
      </c>
      <c r="BF251" s="499" t="str">
        <f t="shared" si="346"/>
        <v/>
      </c>
      <c r="BG251" s="499" t="str">
        <f t="shared" si="346"/>
        <v/>
      </c>
      <c r="BH251" s="499" t="str">
        <f t="shared" si="346"/>
        <v/>
      </c>
      <c r="BI251" s="499" t="str">
        <f t="shared" si="346"/>
        <v/>
      </c>
      <c r="BJ251" s="499" t="str">
        <f t="shared" si="346"/>
        <v/>
      </c>
      <c r="BK251" s="499" t="str">
        <f t="shared" si="346"/>
        <v/>
      </c>
      <c r="BL251" s="499">
        <f t="shared" si="346"/>
        <v>399354</v>
      </c>
      <c r="BM251" s="499" t="str">
        <f t="shared" si="346"/>
        <v/>
      </c>
      <c r="BN251" s="499">
        <f t="shared" si="346"/>
        <v>0</v>
      </c>
      <c r="BO251" s="499">
        <f t="shared" ref="BO251:CT251" si="347">IF(BO171=1, BO$154/BO$156, "")</f>
        <v>92290</v>
      </c>
      <c r="BP251" s="499">
        <f t="shared" si="347"/>
        <v>187975</v>
      </c>
      <c r="BQ251" s="499" t="str">
        <f t="shared" si="347"/>
        <v/>
      </c>
      <c r="BR251" s="499" t="str">
        <f t="shared" si="347"/>
        <v/>
      </c>
      <c r="BS251" s="499" t="str">
        <f t="shared" si="347"/>
        <v/>
      </c>
      <c r="BT251" s="499" t="str">
        <f t="shared" si="347"/>
        <v/>
      </c>
      <c r="BU251" s="499">
        <f t="shared" si="347"/>
        <v>0</v>
      </c>
      <c r="BV251" s="499" t="str">
        <f t="shared" si="347"/>
        <v/>
      </c>
      <c r="BW251" s="499">
        <f t="shared" si="347"/>
        <v>0</v>
      </c>
      <c r="BX251" s="499">
        <f t="shared" si="347"/>
        <v>1936023</v>
      </c>
      <c r="BY251" s="499" t="str">
        <f t="shared" si="347"/>
        <v/>
      </c>
      <c r="BZ251" s="499" t="str">
        <f t="shared" si="347"/>
        <v/>
      </c>
      <c r="CA251" s="499" t="str">
        <f t="shared" si="347"/>
        <v/>
      </c>
      <c r="CB251" s="499" t="str">
        <f t="shared" si="347"/>
        <v/>
      </c>
      <c r="CC251" s="499">
        <f t="shared" si="347"/>
        <v>3941.9333333333334</v>
      </c>
      <c r="CD251" s="499" t="str">
        <f t="shared" si="347"/>
        <v/>
      </c>
      <c r="CE251" s="499">
        <f t="shared" si="347"/>
        <v>264350</v>
      </c>
      <c r="CF251" s="499">
        <f t="shared" si="347"/>
        <v>2980.7142857142858</v>
      </c>
      <c r="CG251" s="499">
        <f t="shared" si="347"/>
        <v>1255960.6666666667</v>
      </c>
      <c r="CH251" s="499" t="str">
        <f t="shared" si="347"/>
        <v/>
      </c>
      <c r="CI251" s="499" t="str">
        <f t="shared" si="347"/>
        <v/>
      </c>
      <c r="CJ251" s="499" t="str">
        <f t="shared" si="347"/>
        <v/>
      </c>
      <c r="CK251" s="499">
        <f t="shared" si="347"/>
        <v>287894.55555555556</v>
      </c>
      <c r="CL251" s="499" t="str">
        <f t="shared" si="347"/>
        <v/>
      </c>
      <c r="CM251" s="499" t="str">
        <f t="shared" si="347"/>
        <v/>
      </c>
      <c r="CN251" s="499">
        <f t="shared" si="347"/>
        <v>247752</v>
      </c>
      <c r="CO251" s="499">
        <f t="shared" si="347"/>
        <v>5000</v>
      </c>
      <c r="CP251" s="499" t="str">
        <f t="shared" si="347"/>
        <v/>
      </c>
      <c r="CQ251" s="499" t="str">
        <f t="shared" si="347"/>
        <v/>
      </c>
      <c r="CR251" s="499" t="str">
        <f t="shared" si="347"/>
        <v/>
      </c>
      <c r="CS251" s="499" t="str">
        <f t="shared" si="347"/>
        <v/>
      </c>
      <c r="CT251" s="499" t="str">
        <f t="shared" si="347"/>
        <v/>
      </c>
      <c r="CU251" s="499" t="str">
        <f t="shared" ref="CU251:DZ251" si="348">IF(CU171=1, CU$154/CU$156, "")</f>
        <v/>
      </c>
      <c r="CV251" s="499">
        <f t="shared" si="348"/>
        <v>5759.125</v>
      </c>
      <c r="CW251" s="499">
        <f t="shared" si="348"/>
        <v>450726.33333333331</v>
      </c>
      <c r="CX251" s="499" t="str">
        <f t="shared" si="348"/>
        <v/>
      </c>
      <c r="CY251" s="499" t="str">
        <f t="shared" si="348"/>
        <v/>
      </c>
      <c r="CZ251" s="499" t="str">
        <f t="shared" si="348"/>
        <v/>
      </c>
      <c r="DA251" s="499" t="str">
        <f t="shared" si="348"/>
        <v/>
      </c>
      <c r="DB251" s="499">
        <f t="shared" si="348"/>
        <v>0</v>
      </c>
      <c r="DC251" s="499">
        <f t="shared" si="348"/>
        <v>232699.375</v>
      </c>
      <c r="DD251" s="499" t="str">
        <f t="shared" si="348"/>
        <v/>
      </c>
      <c r="DE251" s="499">
        <f t="shared" si="348"/>
        <v>0</v>
      </c>
      <c r="DF251" s="499" t="str">
        <f t="shared" si="348"/>
        <v/>
      </c>
      <c r="DG251" s="499" t="str">
        <f t="shared" si="348"/>
        <v/>
      </c>
      <c r="DH251" s="499" t="str">
        <f t="shared" si="348"/>
        <v/>
      </c>
      <c r="DI251" s="499">
        <f t="shared" si="348"/>
        <v>0</v>
      </c>
      <c r="DJ251" s="499" t="str">
        <f t="shared" si="348"/>
        <v/>
      </c>
      <c r="DK251" s="499">
        <f t="shared" si="348"/>
        <v>250</v>
      </c>
      <c r="DL251" s="499" t="str">
        <f t="shared" si="348"/>
        <v/>
      </c>
      <c r="DM251" s="499" t="str">
        <f t="shared" si="348"/>
        <v/>
      </c>
      <c r="DN251" s="499" t="str">
        <f t="shared" si="348"/>
        <v/>
      </c>
      <c r="DO251" s="499" t="str">
        <f t="shared" si="348"/>
        <v/>
      </c>
      <c r="DP251" s="499" t="str">
        <f t="shared" si="348"/>
        <v/>
      </c>
      <c r="DQ251" s="499" t="str">
        <f t="shared" si="348"/>
        <v/>
      </c>
      <c r="DR251" s="499" t="str">
        <f t="shared" si="348"/>
        <v/>
      </c>
      <c r="DS251" s="499" t="str">
        <f t="shared" si="348"/>
        <v/>
      </c>
      <c r="DT251" s="499">
        <f t="shared" si="348"/>
        <v>142538</v>
      </c>
      <c r="DU251" s="499" t="str">
        <f t="shared" si="348"/>
        <v/>
      </c>
      <c r="DV251" s="499" t="str">
        <f t="shared" si="348"/>
        <v/>
      </c>
      <c r="DW251" s="499">
        <f t="shared" si="348"/>
        <v>17617323.25</v>
      </c>
      <c r="DX251" s="499" t="str">
        <f t="shared" si="348"/>
        <v/>
      </c>
      <c r="DY251" s="499">
        <f t="shared" si="348"/>
        <v>0</v>
      </c>
      <c r="DZ251" s="499">
        <f t="shared" si="348"/>
        <v>31280</v>
      </c>
      <c r="EA251" s="499" t="str">
        <f t="shared" ref="EA251:EI251" si="349">IF(EA171=1, EA$154/EA$156, "")</f>
        <v/>
      </c>
      <c r="EB251" s="499" t="str">
        <f t="shared" si="349"/>
        <v/>
      </c>
      <c r="EC251" s="499" t="str">
        <f t="shared" si="349"/>
        <v/>
      </c>
      <c r="ED251" s="499" t="str">
        <f t="shared" si="349"/>
        <v/>
      </c>
      <c r="EE251" s="499">
        <f t="shared" si="349"/>
        <v>2612500</v>
      </c>
      <c r="EF251" s="499" t="str">
        <f t="shared" si="349"/>
        <v/>
      </c>
      <c r="EG251" s="499">
        <f t="shared" si="349"/>
        <v>15000</v>
      </c>
      <c r="EH251" s="499">
        <f t="shared" si="349"/>
        <v>125886.25</v>
      </c>
      <c r="EI251" s="499">
        <f t="shared" si="349"/>
        <v>44272.727272727272</v>
      </c>
      <c r="EJ251" s="499">
        <f t="shared" si="289"/>
        <v>29528857.346930847</v>
      </c>
      <c r="EK251" s="67"/>
      <c r="EL251" s="67"/>
      <c r="EM251" s="67"/>
      <c r="EN251" s="67"/>
      <c r="EO251" s="67"/>
      <c r="EP251" s="67"/>
      <c r="EQ251" s="67"/>
      <c r="ER251" s="67"/>
      <c r="ES251" s="67"/>
      <c r="ET251" s="67"/>
      <c r="EU251" s="67"/>
      <c r="EV251" s="67"/>
      <c r="EW251" s="67"/>
      <c r="EX251" s="67"/>
      <c r="EY251" s="67"/>
      <c r="EZ251" s="67"/>
    </row>
    <row r="252" spans="1:156">
      <c r="B252" s="500" t="s">
        <v>90</v>
      </c>
      <c r="C252" s="499" t="str">
        <f t="shared" ref="C252:AH252" si="350">IF(C172=1, C$154/C$156, "")</f>
        <v/>
      </c>
      <c r="D252" s="499" t="str">
        <f t="shared" si="350"/>
        <v/>
      </c>
      <c r="E252" s="499" t="str">
        <f t="shared" si="350"/>
        <v/>
      </c>
      <c r="F252" s="499" t="str">
        <f t="shared" si="350"/>
        <v/>
      </c>
      <c r="G252" s="499" t="str">
        <f t="shared" si="350"/>
        <v/>
      </c>
      <c r="H252" s="499">
        <f t="shared" si="350"/>
        <v>0</v>
      </c>
      <c r="I252" s="499" t="str">
        <f t="shared" si="350"/>
        <v/>
      </c>
      <c r="J252" s="499" t="str">
        <f t="shared" si="350"/>
        <v/>
      </c>
      <c r="K252" s="499" t="str">
        <f t="shared" si="350"/>
        <v/>
      </c>
      <c r="L252" s="499" t="str">
        <f t="shared" si="350"/>
        <v/>
      </c>
      <c r="M252" s="499" t="str">
        <f t="shared" si="350"/>
        <v/>
      </c>
      <c r="N252" s="499" t="str">
        <f t="shared" si="350"/>
        <v/>
      </c>
      <c r="O252" s="499" t="str">
        <f t="shared" si="350"/>
        <v/>
      </c>
      <c r="P252" s="499" t="str">
        <f t="shared" si="350"/>
        <v/>
      </c>
      <c r="Q252" s="499" t="str">
        <f t="shared" si="350"/>
        <v/>
      </c>
      <c r="R252" s="499" t="str">
        <f t="shared" si="350"/>
        <v/>
      </c>
      <c r="S252" s="499">
        <f t="shared" si="350"/>
        <v>378868.80200000003</v>
      </c>
      <c r="T252" s="499" t="str">
        <f t="shared" si="350"/>
        <v/>
      </c>
      <c r="U252" s="499" t="str">
        <f t="shared" si="350"/>
        <v/>
      </c>
      <c r="V252" s="499" t="str">
        <f t="shared" si="350"/>
        <v/>
      </c>
      <c r="W252" s="499" t="str">
        <f t="shared" si="350"/>
        <v/>
      </c>
      <c r="X252" s="499">
        <f t="shared" si="350"/>
        <v>1531250</v>
      </c>
      <c r="Y252" s="499" t="str">
        <f t="shared" si="350"/>
        <v/>
      </c>
      <c r="Z252" s="499">
        <f t="shared" si="350"/>
        <v>1666.6666666666667</v>
      </c>
      <c r="AA252" s="499">
        <f t="shared" si="350"/>
        <v>357986.66666666669</v>
      </c>
      <c r="AB252" s="499" t="str">
        <f t="shared" si="350"/>
        <v/>
      </c>
      <c r="AC252" s="499" t="str">
        <f t="shared" si="350"/>
        <v/>
      </c>
      <c r="AD252" s="499" t="str">
        <f t="shared" si="350"/>
        <v/>
      </c>
      <c r="AE252" s="499" t="str">
        <f t="shared" si="350"/>
        <v/>
      </c>
      <c r="AF252" s="499" t="str">
        <f t="shared" si="350"/>
        <v/>
      </c>
      <c r="AG252" s="499" t="str">
        <f t="shared" si="350"/>
        <v/>
      </c>
      <c r="AH252" s="499">
        <f t="shared" si="350"/>
        <v>0</v>
      </c>
      <c r="AI252" s="499" t="str">
        <f t="shared" ref="AI252:BN252" si="351">IF(AI172=1, AI$154/AI$156, "")</f>
        <v/>
      </c>
      <c r="AJ252" s="499" t="str">
        <f t="shared" si="351"/>
        <v/>
      </c>
      <c r="AK252" s="499">
        <f t="shared" si="351"/>
        <v>304189.51400000002</v>
      </c>
      <c r="AL252" s="499" t="str">
        <f t="shared" si="351"/>
        <v/>
      </c>
      <c r="AM252" s="499">
        <f t="shared" si="351"/>
        <v>104433.6673333334</v>
      </c>
      <c r="AN252" s="499" t="str">
        <f t="shared" si="351"/>
        <v/>
      </c>
      <c r="AO252" s="499" t="str">
        <f t="shared" si="351"/>
        <v/>
      </c>
      <c r="AP252" s="499" t="str">
        <f t="shared" si="351"/>
        <v/>
      </c>
      <c r="AQ252" s="499" t="str">
        <f t="shared" si="351"/>
        <v/>
      </c>
      <c r="AR252" s="499">
        <f t="shared" si="351"/>
        <v>33333.333333333336</v>
      </c>
      <c r="AS252" s="499" t="str">
        <f t="shared" si="351"/>
        <v/>
      </c>
      <c r="AT252" s="499" t="str">
        <f t="shared" si="351"/>
        <v/>
      </c>
      <c r="AU252" s="499" t="str">
        <f t="shared" si="351"/>
        <v/>
      </c>
      <c r="AV252" s="499">
        <f t="shared" si="351"/>
        <v>373.5</v>
      </c>
      <c r="AW252" s="499" t="str">
        <f t="shared" si="351"/>
        <v/>
      </c>
      <c r="AX252" s="499">
        <f t="shared" si="351"/>
        <v>0</v>
      </c>
      <c r="AY252" s="499">
        <f t="shared" si="351"/>
        <v>183383.0625</v>
      </c>
      <c r="AZ252" s="499">
        <f t="shared" si="351"/>
        <v>45282.285714285717</v>
      </c>
      <c r="BA252" s="499">
        <f t="shared" si="351"/>
        <v>1250</v>
      </c>
      <c r="BB252" s="499">
        <f t="shared" si="351"/>
        <v>22732.6875</v>
      </c>
      <c r="BC252" s="499">
        <f t="shared" si="351"/>
        <v>239714.23076923078</v>
      </c>
      <c r="BD252" s="499" t="str">
        <f t="shared" si="351"/>
        <v/>
      </c>
      <c r="BE252" s="499" t="str">
        <f t="shared" si="351"/>
        <v/>
      </c>
      <c r="BF252" s="499" t="str">
        <f t="shared" si="351"/>
        <v/>
      </c>
      <c r="BG252" s="499" t="str">
        <f t="shared" si="351"/>
        <v/>
      </c>
      <c r="BH252" s="499" t="str">
        <f t="shared" si="351"/>
        <v/>
      </c>
      <c r="BI252" s="499" t="str">
        <f t="shared" si="351"/>
        <v/>
      </c>
      <c r="BJ252" s="499" t="str">
        <f t="shared" si="351"/>
        <v/>
      </c>
      <c r="BK252" s="499" t="str">
        <f t="shared" si="351"/>
        <v/>
      </c>
      <c r="BL252" s="499" t="str">
        <f t="shared" si="351"/>
        <v/>
      </c>
      <c r="BM252" s="499" t="str">
        <f t="shared" si="351"/>
        <v/>
      </c>
      <c r="BN252" s="499">
        <f t="shared" si="351"/>
        <v>0</v>
      </c>
      <c r="BO252" s="499" t="str">
        <f t="shared" ref="BO252:CT252" si="352">IF(BO172=1, BO$154/BO$156, "")</f>
        <v/>
      </c>
      <c r="BP252" s="499">
        <f t="shared" si="352"/>
        <v>187975</v>
      </c>
      <c r="BQ252" s="499" t="str">
        <f t="shared" si="352"/>
        <v/>
      </c>
      <c r="BR252" s="499" t="str">
        <f t="shared" si="352"/>
        <v/>
      </c>
      <c r="BS252" s="499" t="str">
        <f t="shared" si="352"/>
        <v/>
      </c>
      <c r="BT252" s="499" t="str">
        <f t="shared" si="352"/>
        <v/>
      </c>
      <c r="BU252" s="499">
        <f t="shared" si="352"/>
        <v>0</v>
      </c>
      <c r="BV252" s="499" t="str">
        <f t="shared" si="352"/>
        <v/>
      </c>
      <c r="BW252" s="499" t="str">
        <f t="shared" si="352"/>
        <v/>
      </c>
      <c r="BX252" s="499" t="str">
        <f t="shared" si="352"/>
        <v/>
      </c>
      <c r="BY252" s="499" t="str">
        <f t="shared" si="352"/>
        <v/>
      </c>
      <c r="BZ252" s="499" t="str">
        <f t="shared" si="352"/>
        <v/>
      </c>
      <c r="CA252" s="499" t="str">
        <f t="shared" si="352"/>
        <v/>
      </c>
      <c r="CB252" s="499" t="str">
        <f t="shared" si="352"/>
        <v/>
      </c>
      <c r="CC252" s="499">
        <f t="shared" si="352"/>
        <v>3941.9333333333334</v>
      </c>
      <c r="CD252" s="499" t="str">
        <f t="shared" si="352"/>
        <v/>
      </c>
      <c r="CE252" s="499" t="str">
        <f t="shared" si="352"/>
        <v/>
      </c>
      <c r="CF252" s="499">
        <f t="shared" si="352"/>
        <v>2980.7142857142858</v>
      </c>
      <c r="CG252" s="499" t="str">
        <f t="shared" si="352"/>
        <v/>
      </c>
      <c r="CH252" s="499" t="str">
        <f t="shared" si="352"/>
        <v/>
      </c>
      <c r="CI252" s="499" t="str">
        <f t="shared" si="352"/>
        <v/>
      </c>
      <c r="CJ252" s="499" t="str">
        <f t="shared" si="352"/>
        <v/>
      </c>
      <c r="CK252" s="499">
        <f t="shared" si="352"/>
        <v>287894.55555555556</v>
      </c>
      <c r="CL252" s="499" t="str">
        <f t="shared" si="352"/>
        <v/>
      </c>
      <c r="CM252" s="499" t="str">
        <f t="shared" si="352"/>
        <v/>
      </c>
      <c r="CN252" s="499" t="str">
        <f t="shared" si="352"/>
        <v/>
      </c>
      <c r="CO252" s="499">
        <f t="shared" si="352"/>
        <v>5000</v>
      </c>
      <c r="CP252" s="499" t="str">
        <f t="shared" si="352"/>
        <v/>
      </c>
      <c r="CQ252" s="499" t="str">
        <f t="shared" si="352"/>
        <v/>
      </c>
      <c r="CR252" s="499" t="str">
        <f t="shared" si="352"/>
        <v/>
      </c>
      <c r="CS252" s="499" t="str">
        <f t="shared" si="352"/>
        <v/>
      </c>
      <c r="CT252" s="499" t="str">
        <f t="shared" si="352"/>
        <v/>
      </c>
      <c r="CU252" s="499" t="str">
        <f t="shared" ref="CU252:DZ252" si="353">IF(CU172=1, CU$154/CU$156, "")</f>
        <v/>
      </c>
      <c r="CV252" s="499" t="str">
        <f t="shared" si="353"/>
        <v/>
      </c>
      <c r="CW252" s="499">
        <f t="shared" si="353"/>
        <v>450726.33333333331</v>
      </c>
      <c r="CX252" s="499" t="str">
        <f t="shared" si="353"/>
        <v/>
      </c>
      <c r="CY252" s="499" t="str">
        <f t="shared" si="353"/>
        <v/>
      </c>
      <c r="CZ252" s="499" t="str">
        <f t="shared" si="353"/>
        <v/>
      </c>
      <c r="DA252" s="499" t="str">
        <f t="shared" si="353"/>
        <v/>
      </c>
      <c r="DB252" s="499">
        <f t="shared" si="353"/>
        <v>0</v>
      </c>
      <c r="DC252" s="499">
        <f t="shared" si="353"/>
        <v>232699.375</v>
      </c>
      <c r="DD252" s="499" t="str">
        <f t="shared" si="353"/>
        <v/>
      </c>
      <c r="DE252" s="499">
        <f t="shared" si="353"/>
        <v>0</v>
      </c>
      <c r="DF252" s="499" t="str">
        <f t="shared" si="353"/>
        <v/>
      </c>
      <c r="DG252" s="499">
        <f t="shared" si="353"/>
        <v>333333.33333333331</v>
      </c>
      <c r="DH252" s="499" t="str">
        <f t="shared" si="353"/>
        <v/>
      </c>
      <c r="DI252" s="499">
        <f t="shared" si="353"/>
        <v>0</v>
      </c>
      <c r="DJ252" s="499" t="str">
        <f t="shared" si="353"/>
        <v/>
      </c>
      <c r="DK252" s="499">
        <f t="shared" si="353"/>
        <v>250</v>
      </c>
      <c r="DL252" s="499" t="str">
        <f t="shared" si="353"/>
        <v/>
      </c>
      <c r="DM252" s="499" t="str">
        <f t="shared" si="353"/>
        <v/>
      </c>
      <c r="DN252" s="499" t="str">
        <f t="shared" si="353"/>
        <v/>
      </c>
      <c r="DO252" s="499" t="str">
        <f t="shared" si="353"/>
        <v/>
      </c>
      <c r="DP252" s="499" t="str">
        <f t="shared" si="353"/>
        <v/>
      </c>
      <c r="DQ252" s="499" t="str">
        <f t="shared" si="353"/>
        <v/>
      </c>
      <c r="DR252" s="499" t="str">
        <f t="shared" si="353"/>
        <v/>
      </c>
      <c r="DS252" s="499" t="str">
        <f t="shared" si="353"/>
        <v/>
      </c>
      <c r="DT252" s="499">
        <f t="shared" si="353"/>
        <v>142538</v>
      </c>
      <c r="DU252" s="499" t="str">
        <f t="shared" si="353"/>
        <v/>
      </c>
      <c r="DV252" s="499" t="str">
        <f t="shared" si="353"/>
        <v/>
      </c>
      <c r="DW252" s="499">
        <f t="shared" si="353"/>
        <v>17617323.25</v>
      </c>
      <c r="DX252" s="499" t="str">
        <f t="shared" si="353"/>
        <v/>
      </c>
      <c r="DY252" s="499" t="str">
        <f t="shared" si="353"/>
        <v/>
      </c>
      <c r="DZ252" s="499" t="str">
        <f t="shared" si="353"/>
        <v/>
      </c>
      <c r="EA252" s="499" t="str">
        <f t="shared" ref="EA252:EI252" si="354">IF(EA172=1, EA$154/EA$156, "")</f>
        <v/>
      </c>
      <c r="EB252" s="499" t="str">
        <f t="shared" si="354"/>
        <v/>
      </c>
      <c r="EC252" s="499" t="str">
        <f t="shared" si="354"/>
        <v/>
      </c>
      <c r="ED252" s="499" t="str">
        <f t="shared" si="354"/>
        <v/>
      </c>
      <c r="EE252" s="499">
        <f t="shared" si="354"/>
        <v>2612500</v>
      </c>
      <c r="EF252" s="499" t="str">
        <f t="shared" si="354"/>
        <v/>
      </c>
      <c r="EG252" s="499">
        <f t="shared" si="354"/>
        <v>15000</v>
      </c>
      <c r="EH252" s="499">
        <f t="shared" si="354"/>
        <v>125886.25</v>
      </c>
      <c r="EI252" s="499">
        <f t="shared" si="354"/>
        <v>44272.727272727272</v>
      </c>
      <c r="EJ252" s="499">
        <f t="shared" si="289"/>
        <v>25266785.888597514</v>
      </c>
      <c r="EK252" s="67"/>
      <c r="EL252" s="67"/>
      <c r="EM252" s="67"/>
      <c r="EN252" s="67"/>
      <c r="EO252" s="67"/>
      <c r="EP252" s="67"/>
      <c r="EQ252" s="67"/>
      <c r="ER252" s="67"/>
      <c r="ES252" s="67"/>
      <c r="ET252" s="67"/>
      <c r="EU252" s="67"/>
      <c r="EV252" s="67"/>
      <c r="EW252" s="67"/>
      <c r="EX252" s="67"/>
      <c r="EY252" s="67"/>
      <c r="EZ252" s="67"/>
    </row>
    <row r="253" spans="1:156">
      <c r="B253" s="500" t="s">
        <v>137</v>
      </c>
      <c r="C253" s="499" t="str">
        <f t="shared" ref="C253:AH253" si="355">IF(C173=1, C$154/C$156, "")</f>
        <v/>
      </c>
      <c r="D253" s="499">
        <f t="shared" si="355"/>
        <v>68070</v>
      </c>
      <c r="E253" s="499">
        <f t="shared" si="355"/>
        <v>100110.5</v>
      </c>
      <c r="F253" s="499">
        <f t="shared" si="355"/>
        <v>688.66666666666663</v>
      </c>
      <c r="G253" s="499" t="str">
        <f t="shared" si="355"/>
        <v/>
      </c>
      <c r="H253" s="499">
        <f t="shared" si="355"/>
        <v>0</v>
      </c>
      <c r="I253" s="499">
        <f t="shared" si="355"/>
        <v>27714.333333333332</v>
      </c>
      <c r="J253" s="499">
        <f t="shared" si="355"/>
        <v>14224.333333333334</v>
      </c>
      <c r="K253" s="499" t="str">
        <f t="shared" si="355"/>
        <v/>
      </c>
      <c r="L253" s="499" t="str">
        <f t="shared" si="355"/>
        <v/>
      </c>
      <c r="M253" s="499">
        <f t="shared" si="355"/>
        <v>292666.5</v>
      </c>
      <c r="N253" s="499" t="str">
        <f t="shared" si="355"/>
        <v/>
      </c>
      <c r="O253" s="499" t="str">
        <f t="shared" si="355"/>
        <v/>
      </c>
      <c r="P253" s="499" t="str">
        <f t="shared" si="355"/>
        <v/>
      </c>
      <c r="Q253" s="499" t="str">
        <f t="shared" si="355"/>
        <v/>
      </c>
      <c r="R253" s="499" t="str">
        <f t="shared" si="355"/>
        <v/>
      </c>
      <c r="S253" s="499" t="str">
        <f t="shared" si="355"/>
        <v/>
      </c>
      <c r="T253" s="499" t="str">
        <f t="shared" si="355"/>
        <v/>
      </c>
      <c r="U253" s="499" t="str">
        <f t="shared" si="355"/>
        <v/>
      </c>
      <c r="V253" s="499" t="str">
        <f t="shared" si="355"/>
        <v/>
      </c>
      <c r="W253" s="499" t="str">
        <f t="shared" si="355"/>
        <v/>
      </c>
      <c r="X253" s="499">
        <f t="shared" si="355"/>
        <v>1531250</v>
      </c>
      <c r="Y253" s="499">
        <f t="shared" si="355"/>
        <v>9889.6666666666661</v>
      </c>
      <c r="Z253" s="499" t="str">
        <f t="shared" si="355"/>
        <v/>
      </c>
      <c r="AA253" s="499" t="str">
        <f t="shared" si="355"/>
        <v/>
      </c>
      <c r="AB253" s="499" t="str">
        <f t="shared" si="355"/>
        <v/>
      </c>
      <c r="AC253" s="499" t="str">
        <f t="shared" si="355"/>
        <v/>
      </c>
      <c r="AD253" s="499" t="str">
        <f t="shared" si="355"/>
        <v/>
      </c>
      <c r="AE253" s="499" t="str">
        <f t="shared" si="355"/>
        <v/>
      </c>
      <c r="AF253" s="499" t="str">
        <f t="shared" si="355"/>
        <v/>
      </c>
      <c r="AG253" s="499" t="str">
        <f t="shared" si="355"/>
        <v/>
      </c>
      <c r="AH253" s="499">
        <f t="shared" si="355"/>
        <v>0</v>
      </c>
      <c r="AI253" s="499" t="str">
        <f t="shared" ref="AI253:BN253" si="356">IF(AI173=1, AI$154/AI$156, "")</f>
        <v/>
      </c>
      <c r="AJ253" s="499">
        <f t="shared" si="356"/>
        <v>406310.09428571432</v>
      </c>
      <c r="AK253" s="499" t="str">
        <f t="shared" si="356"/>
        <v/>
      </c>
      <c r="AL253" s="499" t="str">
        <f t="shared" si="356"/>
        <v/>
      </c>
      <c r="AM253" s="499" t="str">
        <f t="shared" si="356"/>
        <v/>
      </c>
      <c r="AN253" s="499">
        <f t="shared" si="356"/>
        <v>74595.47714285714</v>
      </c>
      <c r="AO253" s="499" t="str">
        <f t="shared" si="356"/>
        <v/>
      </c>
      <c r="AP253" s="499" t="str">
        <f t="shared" si="356"/>
        <v/>
      </c>
      <c r="AQ253" s="499" t="str">
        <f t="shared" si="356"/>
        <v/>
      </c>
      <c r="AR253" s="499" t="str">
        <f t="shared" si="356"/>
        <v/>
      </c>
      <c r="AS253" s="499" t="str">
        <f t="shared" si="356"/>
        <v/>
      </c>
      <c r="AT253" s="499" t="str">
        <f t="shared" si="356"/>
        <v/>
      </c>
      <c r="AU253" s="499">
        <f t="shared" si="356"/>
        <v>3404.375</v>
      </c>
      <c r="AV253" s="499" t="str">
        <f t="shared" si="356"/>
        <v/>
      </c>
      <c r="AW253" s="499" t="str">
        <f t="shared" si="356"/>
        <v/>
      </c>
      <c r="AX253" s="499" t="str">
        <f t="shared" si="356"/>
        <v/>
      </c>
      <c r="AY253" s="499">
        <f t="shared" si="356"/>
        <v>183383.0625</v>
      </c>
      <c r="AZ253" s="499" t="str">
        <f t="shared" si="356"/>
        <v/>
      </c>
      <c r="BA253" s="499">
        <f t="shared" si="356"/>
        <v>1250</v>
      </c>
      <c r="BB253" s="499">
        <f t="shared" si="356"/>
        <v>22732.6875</v>
      </c>
      <c r="BC253" s="499">
        <f t="shared" si="356"/>
        <v>239714.23076923078</v>
      </c>
      <c r="BD253" s="499" t="str">
        <f t="shared" si="356"/>
        <v/>
      </c>
      <c r="BE253" s="499">
        <f t="shared" si="356"/>
        <v>8400</v>
      </c>
      <c r="BF253" s="499">
        <f t="shared" si="356"/>
        <v>59666.666666666664</v>
      </c>
      <c r="BG253" s="499" t="str">
        <f t="shared" si="356"/>
        <v/>
      </c>
      <c r="BH253" s="499" t="str">
        <f t="shared" si="356"/>
        <v/>
      </c>
      <c r="BI253" s="499" t="str">
        <f t="shared" si="356"/>
        <v/>
      </c>
      <c r="BJ253" s="499" t="str">
        <f t="shared" si="356"/>
        <v/>
      </c>
      <c r="BK253" s="499">
        <f t="shared" si="356"/>
        <v>312333.33333333331</v>
      </c>
      <c r="BL253" s="499" t="str">
        <f t="shared" si="356"/>
        <v/>
      </c>
      <c r="BM253" s="499" t="str">
        <f t="shared" si="356"/>
        <v/>
      </c>
      <c r="BN253" s="499" t="str">
        <f t="shared" si="356"/>
        <v/>
      </c>
      <c r="BO253" s="499" t="str">
        <f t="shared" ref="BO253:CT253" si="357">IF(BO173=1, BO$154/BO$156, "")</f>
        <v/>
      </c>
      <c r="BP253" s="499">
        <f t="shared" si="357"/>
        <v>187975</v>
      </c>
      <c r="BQ253" s="499" t="str">
        <f t="shared" si="357"/>
        <v/>
      </c>
      <c r="BR253" s="499">
        <f t="shared" si="357"/>
        <v>8000</v>
      </c>
      <c r="BS253" s="499" t="str">
        <f t="shared" si="357"/>
        <v/>
      </c>
      <c r="BT253" s="499">
        <f t="shared" si="357"/>
        <v>0</v>
      </c>
      <c r="BU253" s="499" t="str">
        <f t="shared" si="357"/>
        <v/>
      </c>
      <c r="BV253" s="499" t="str">
        <f t="shared" si="357"/>
        <v/>
      </c>
      <c r="BW253" s="499" t="str">
        <f t="shared" si="357"/>
        <v/>
      </c>
      <c r="BX253" s="499" t="str">
        <f t="shared" si="357"/>
        <v/>
      </c>
      <c r="BY253" s="499">
        <f t="shared" si="357"/>
        <v>1333.3333333333333</v>
      </c>
      <c r="BZ253" s="499" t="str">
        <f t="shared" si="357"/>
        <v/>
      </c>
      <c r="CA253" s="499" t="str">
        <f t="shared" si="357"/>
        <v/>
      </c>
      <c r="CB253" s="499">
        <f t="shared" si="357"/>
        <v>15235.952380952382</v>
      </c>
      <c r="CC253" s="499" t="str">
        <f t="shared" si="357"/>
        <v/>
      </c>
      <c r="CD253" s="499" t="str">
        <f t="shared" si="357"/>
        <v/>
      </c>
      <c r="CE253" s="499" t="str">
        <f t="shared" si="357"/>
        <v/>
      </c>
      <c r="CF253" s="499">
        <f t="shared" si="357"/>
        <v>2980.7142857142858</v>
      </c>
      <c r="CG253" s="499" t="str">
        <f t="shared" si="357"/>
        <v/>
      </c>
      <c r="CH253" s="499" t="str">
        <f t="shared" si="357"/>
        <v/>
      </c>
      <c r="CI253" s="499" t="str">
        <f t="shared" si="357"/>
        <v/>
      </c>
      <c r="CJ253" s="499" t="str">
        <f t="shared" si="357"/>
        <v/>
      </c>
      <c r="CK253" s="499" t="str">
        <f t="shared" si="357"/>
        <v/>
      </c>
      <c r="CL253" s="499">
        <f t="shared" si="357"/>
        <v>0</v>
      </c>
      <c r="CM253" s="499" t="str">
        <f t="shared" si="357"/>
        <v/>
      </c>
      <c r="CN253" s="499" t="str">
        <f t="shared" si="357"/>
        <v/>
      </c>
      <c r="CO253" s="499">
        <f t="shared" si="357"/>
        <v>5000</v>
      </c>
      <c r="CP253" s="499" t="str">
        <f t="shared" si="357"/>
        <v/>
      </c>
      <c r="CQ253" s="499" t="str">
        <f t="shared" si="357"/>
        <v/>
      </c>
      <c r="CR253" s="499" t="str">
        <f t="shared" si="357"/>
        <v/>
      </c>
      <c r="CS253" s="499" t="str">
        <f t="shared" si="357"/>
        <v/>
      </c>
      <c r="CT253" s="499">
        <f t="shared" si="357"/>
        <v>75000</v>
      </c>
      <c r="CU253" s="499">
        <f t="shared" ref="CU253:DZ253" si="358">IF(CU173=1, CU$154/CU$156, "")</f>
        <v>75000</v>
      </c>
      <c r="CV253" s="499">
        <f t="shared" si="358"/>
        <v>5759.125</v>
      </c>
      <c r="CW253" s="499">
        <f t="shared" si="358"/>
        <v>450726.33333333331</v>
      </c>
      <c r="CX253" s="499" t="str">
        <f t="shared" si="358"/>
        <v/>
      </c>
      <c r="CY253" s="499">
        <f t="shared" si="358"/>
        <v>2043</v>
      </c>
      <c r="CZ253" s="499" t="str">
        <f t="shared" si="358"/>
        <v/>
      </c>
      <c r="DA253" s="499" t="str">
        <f t="shared" si="358"/>
        <v/>
      </c>
      <c r="DB253" s="499">
        <f t="shared" si="358"/>
        <v>0</v>
      </c>
      <c r="DC253" s="499">
        <f t="shared" si="358"/>
        <v>232699.375</v>
      </c>
      <c r="DD253" s="499" t="str">
        <f t="shared" si="358"/>
        <v/>
      </c>
      <c r="DE253" s="499" t="str">
        <f t="shared" si="358"/>
        <v/>
      </c>
      <c r="DF253" s="499" t="str">
        <f t="shared" si="358"/>
        <v/>
      </c>
      <c r="DG253" s="499" t="str">
        <f t="shared" si="358"/>
        <v/>
      </c>
      <c r="DH253" s="499">
        <f t="shared" si="358"/>
        <v>3018.8095714285714</v>
      </c>
      <c r="DI253" s="499" t="str">
        <f t="shared" si="358"/>
        <v/>
      </c>
      <c r="DJ253" s="499" t="str">
        <f t="shared" si="358"/>
        <v/>
      </c>
      <c r="DK253" s="499">
        <f t="shared" si="358"/>
        <v>250</v>
      </c>
      <c r="DL253" s="499" t="str">
        <f t="shared" si="358"/>
        <v/>
      </c>
      <c r="DM253" s="499" t="str">
        <f t="shared" si="358"/>
        <v/>
      </c>
      <c r="DN253" s="499" t="str">
        <f t="shared" si="358"/>
        <v/>
      </c>
      <c r="DO253" s="499" t="str">
        <f t="shared" si="358"/>
        <v/>
      </c>
      <c r="DP253" s="499" t="str">
        <f t="shared" si="358"/>
        <v/>
      </c>
      <c r="DQ253" s="499" t="str">
        <f t="shared" si="358"/>
        <v/>
      </c>
      <c r="DR253" s="499" t="str">
        <f t="shared" si="358"/>
        <v/>
      </c>
      <c r="DS253" s="499">
        <f t="shared" si="358"/>
        <v>332250</v>
      </c>
      <c r="DT253" s="499" t="str">
        <f t="shared" si="358"/>
        <v/>
      </c>
      <c r="DU253" s="499" t="str">
        <f t="shared" si="358"/>
        <v/>
      </c>
      <c r="DV253" s="499" t="str">
        <f t="shared" si="358"/>
        <v/>
      </c>
      <c r="DW253" s="499" t="str">
        <f t="shared" si="358"/>
        <v/>
      </c>
      <c r="DX253" s="499" t="str">
        <f t="shared" si="358"/>
        <v/>
      </c>
      <c r="DY253" s="499" t="str">
        <f t="shared" si="358"/>
        <v/>
      </c>
      <c r="DZ253" s="499" t="str">
        <f t="shared" si="358"/>
        <v/>
      </c>
      <c r="EA253" s="499" t="str">
        <f t="shared" ref="EA253:EI253" si="359">IF(EA173=1, EA$154/EA$156, "")</f>
        <v/>
      </c>
      <c r="EB253" s="499" t="str">
        <f t="shared" si="359"/>
        <v/>
      </c>
      <c r="EC253" s="499" t="str">
        <f t="shared" si="359"/>
        <v/>
      </c>
      <c r="ED253" s="499" t="str">
        <f t="shared" si="359"/>
        <v/>
      </c>
      <c r="EE253" s="499">
        <f t="shared" si="359"/>
        <v>2612500</v>
      </c>
      <c r="EF253" s="499">
        <f t="shared" si="359"/>
        <v>547791.66666666663</v>
      </c>
      <c r="EG253" s="499">
        <f t="shared" si="359"/>
        <v>15000</v>
      </c>
      <c r="EH253" s="499" t="str">
        <f t="shared" si="359"/>
        <v/>
      </c>
      <c r="EI253" s="499" t="str">
        <f t="shared" si="359"/>
        <v/>
      </c>
      <c r="EJ253" s="499">
        <f t="shared" si="289"/>
        <v>7928967.236769231</v>
      </c>
      <c r="EK253" s="67"/>
      <c r="EL253" s="67"/>
      <c r="EM253" s="67"/>
      <c r="EN253" s="67"/>
      <c r="EO253" s="67"/>
      <c r="EP253" s="67"/>
      <c r="EQ253" s="67"/>
      <c r="ER253" s="67"/>
      <c r="ES253" s="67"/>
      <c r="ET253" s="67"/>
      <c r="EU253" s="67"/>
      <c r="EV253" s="67"/>
      <c r="EW253" s="67"/>
      <c r="EX253" s="67"/>
      <c r="EY253" s="67"/>
      <c r="EZ253" s="67"/>
    </row>
    <row r="254" spans="1:156">
      <c r="B254" s="500" t="s">
        <v>94</v>
      </c>
      <c r="C254" s="499" t="str">
        <f t="shared" ref="C254:AH254" si="360">IF(C174=1, C$154/C$156, "")</f>
        <v/>
      </c>
      <c r="D254" s="499" t="str">
        <f t="shared" si="360"/>
        <v/>
      </c>
      <c r="E254" s="499" t="str">
        <f t="shared" si="360"/>
        <v/>
      </c>
      <c r="F254" s="499" t="str">
        <f t="shared" si="360"/>
        <v/>
      </c>
      <c r="G254" s="499">
        <f t="shared" si="360"/>
        <v>240570.16666666666</v>
      </c>
      <c r="H254" s="499">
        <f t="shared" si="360"/>
        <v>0</v>
      </c>
      <c r="I254" s="499" t="str">
        <f t="shared" si="360"/>
        <v/>
      </c>
      <c r="J254" s="499" t="str">
        <f t="shared" si="360"/>
        <v/>
      </c>
      <c r="K254" s="499" t="str">
        <f t="shared" si="360"/>
        <v/>
      </c>
      <c r="L254" s="499" t="str">
        <f t="shared" si="360"/>
        <v/>
      </c>
      <c r="M254" s="499" t="str">
        <f t="shared" si="360"/>
        <v/>
      </c>
      <c r="N254" s="499" t="str">
        <f t="shared" si="360"/>
        <v/>
      </c>
      <c r="O254" s="499" t="str">
        <f t="shared" si="360"/>
        <v/>
      </c>
      <c r="P254" s="499" t="str">
        <f t="shared" si="360"/>
        <v/>
      </c>
      <c r="Q254" s="499" t="str">
        <f t="shared" si="360"/>
        <v/>
      </c>
      <c r="R254" s="499" t="str">
        <f t="shared" si="360"/>
        <v/>
      </c>
      <c r="S254" s="499" t="str">
        <f t="shared" si="360"/>
        <v/>
      </c>
      <c r="T254" s="499" t="str">
        <f t="shared" si="360"/>
        <v/>
      </c>
      <c r="U254" s="499" t="str">
        <f t="shared" si="360"/>
        <v/>
      </c>
      <c r="V254" s="499" t="str">
        <f t="shared" si="360"/>
        <v/>
      </c>
      <c r="W254" s="499" t="str">
        <f t="shared" si="360"/>
        <v/>
      </c>
      <c r="X254" s="499">
        <f t="shared" si="360"/>
        <v>1531250</v>
      </c>
      <c r="Y254" s="499" t="str">
        <f t="shared" si="360"/>
        <v/>
      </c>
      <c r="Z254" s="499">
        <f t="shared" si="360"/>
        <v>1666.6666666666667</v>
      </c>
      <c r="AA254" s="499" t="str">
        <f t="shared" si="360"/>
        <v/>
      </c>
      <c r="AB254" s="499" t="str">
        <f t="shared" si="360"/>
        <v/>
      </c>
      <c r="AC254" s="499" t="str">
        <f t="shared" si="360"/>
        <v/>
      </c>
      <c r="AD254" s="499" t="str">
        <f t="shared" si="360"/>
        <v/>
      </c>
      <c r="AE254" s="499" t="str">
        <f t="shared" si="360"/>
        <v/>
      </c>
      <c r="AF254" s="499" t="str">
        <f t="shared" si="360"/>
        <v/>
      </c>
      <c r="AG254" s="499" t="str">
        <f t="shared" si="360"/>
        <v/>
      </c>
      <c r="AH254" s="499">
        <f t="shared" si="360"/>
        <v>0</v>
      </c>
      <c r="AI254" s="499" t="str">
        <f t="shared" ref="AI254:BN254" si="361">IF(AI174=1, AI$154/AI$156, "")</f>
        <v/>
      </c>
      <c r="AJ254" s="499" t="str">
        <f t="shared" si="361"/>
        <v/>
      </c>
      <c r="AK254" s="499" t="str">
        <f t="shared" si="361"/>
        <v/>
      </c>
      <c r="AL254" s="499" t="str">
        <f t="shared" si="361"/>
        <v/>
      </c>
      <c r="AM254" s="499" t="str">
        <f t="shared" si="361"/>
        <v/>
      </c>
      <c r="AN254" s="499" t="str">
        <f t="shared" si="361"/>
        <v/>
      </c>
      <c r="AO254" s="499" t="str">
        <f t="shared" si="361"/>
        <v/>
      </c>
      <c r="AP254" s="499" t="str">
        <f t="shared" si="361"/>
        <v/>
      </c>
      <c r="AQ254" s="499" t="str">
        <f t="shared" si="361"/>
        <v/>
      </c>
      <c r="AR254" s="499" t="str">
        <f t="shared" si="361"/>
        <v/>
      </c>
      <c r="AS254" s="499" t="str">
        <f t="shared" si="361"/>
        <v/>
      </c>
      <c r="AT254" s="499" t="str">
        <f t="shared" si="361"/>
        <v/>
      </c>
      <c r="AU254" s="499" t="str">
        <f t="shared" si="361"/>
        <v/>
      </c>
      <c r="AV254" s="499" t="str">
        <f t="shared" si="361"/>
        <v/>
      </c>
      <c r="AW254" s="499" t="str">
        <f t="shared" si="361"/>
        <v/>
      </c>
      <c r="AX254" s="499">
        <f t="shared" si="361"/>
        <v>0</v>
      </c>
      <c r="AY254" s="499">
        <f t="shared" si="361"/>
        <v>183383.0625</v>
      </c>
      <c r="AZ254" s="499" t="str">
        <f t="shared" si="361"/>
        <v/>
      </c>
      <c r="BA254" s="499">
        <f t="shared" si="361"/>
        <v>1250</v>
      </c>
      <c r="BB254" s="499">
        <f t="shared" si="361"/>
        <v>22732.6875</v>
      </c>
      <c r="BC254" s="499">
        <f t="shared" si="361"/>
        <v>239714.23076923078</v>
      </c>
      <c r="BD254" s="499">
        <f t="shared" si="361"/>
        <v>252059.28571428571</v>
      </c>
      <c r="BE254" s="499" t="str">
        <f t="shared" si="361"/>
        <v/>
      </c>
      <c r="BF254" s="499" t="str">
        <f t="shared" si="361"/>
        <v/>
      </c>
      <c r="BG254" s="499" t="str">
        <f t="shared" si="361"/>
        <v/>
      </c>
      <c r="BH254" s="499" t="str">
        <f t="shared" si="361"/>
        <v/>
      </c>
      <c r="BI254" s="499" t="str">
        <f t="shared" si="361"/>
        <v/>
      </c>
      <c r="BJ254" s="499" t="str">
        <f t="shared" si="361"/>
        <v/>
      </c>
      <c r="BK254" s="499" t="str">
        <f t="shared" si="361"/>
        <v/>
      </c>
      <c r="BL254" s="499">
        <f t="shared" si="361"/>
        <v>399354</v>
      </c>
      <c r="BM254" s="499" t="str">
        <f t="shared" si="361"/>
        <v/>
      </c>
      <c r="BN254" s="499" t="str">
        <f t="shared" si="361"/>
        <v/>
      </c>
      <c r="BO254" s="499">
        <f t="shared" ref="BO254:CT254" si="362">IF(BO174=1, BO$154/BO$156, "")</f>
        <v>92290</v>
      </c>
      <c r="BP254" s="499">
        <f t="shared" si="362"/>
        <v>187975</v>
      </c>
      <c r="BQ254" s="499" t="str">
        <f t="shared" si="362"/>
        <v/>
      </c>
      <c r="BR254" s="499" t="str">
        <f t="shared" si="362"/>
        <v/>
      </c>
      <c r="BS254" s="499" t="str">
        <f t="shared" si="362"/>
        <v/>
      </c>
      <c r="BT254" s="499" t="str">
        <f t="shared" si="362"/>
        <v/>
      </c>
      <c r="BU254" s="499" t="str">
        <f t="shared" si="362"/>
        <v/>
      </c>
      <c r="BV254" s="499" t="str">
        <f t="shared" si="362"/>
        <v/>
      </c>
      <c r="BW254" s="499">
        <f t="shared" si="362"/>
        <v>0</v>
      </c>
      <c r="BX254" s="499">
        <f t="shared" si="362"/>
        <v>1936023</v>
      </c>
      <c r="BY254" s="499" t="str">
        <f t="shared" si="362"/>
        <v/>
      </c>
      <c r="BZ254" s="499" t="str">
        <f t="shared" si="362"/>
        <v/>
      </c>
      <c r="CA254" s="499" t="str">
        <f t="shared" si="362"/>
        <v/>
      </c>
      <c r="CB254" s="499" t="str">
        <f t="shared" si="362"/>
        <v/>
      </c>
      <c r="CC254" s="499" t="str">
        <f t="shared" si="362"/>
        <v/>
      </c>
      <c r="CD254" s="499" t="str">
        <f t="shared" si="362"/>
        <v/>
      </c>
      <c r="CE254" s="499">
        <f t="shared" si="362"/>
        <v>264350</v>
      </c>
      <c r="CF254" s="499">
        <f t="shared" si="362"/>
        <v>2980.7142857142858</v>
      </c>
      <c r="CG254" s="499" t="str">
        <f t="shared" si="362"/>
        <v/>
      </c>
      <c r="CH254" s="499" t="str">
        <f t="shared" si="362"/>
        <v/>
      </c>
      <c r="CI254" s="499" t="str">
        <f t="shared" si="362"/>
        <v/>
      </c>
      <c r="CJ254" s="499" t="str">
        <f t="shared" si="362"/>
        <v/>
      </c>
      <c r="CK254" s="499" t="str">
        <f t="shared" si="362"/>
        <v/>
      </c>
      <c r="CL254" s="499" t="str">
        <f t="shared" si="362"/>
        <v/>
      </c>
      <c r="CM254" s="499" t="str">
        <f t="shared" si="362"/>
        <v/>
      </c>
      <c r="CN254" s="499" t="str">
        <f t="shared" si="362"/>
        <v/>
      </c>
      <c r="CO254" s="499" t="str">
        <f t="shared" si="362"/>
        <v/>
      </c>
      <c r="CP254" s="499" t="str">
        <f t="shared" si="362"/>
        <v/>
      </c>
      <c r="CQ254" s="499" t="str">
        <f t="shared" si="362"/>
        <v/>
      </c>
      <c r="CR254" s="499" t="str">
        <f t="shared" si="362"/>
        <v/>
      </c>
      <c r="CS254" s="499" t="str">
        <f t="shared" si="362"/>
        <v/>
      </c>
      <c r="CT254" s="499" t="str">
        <f t="shared" si="362"/>
        <v/>
      </c>
      <c r="CU254" s="499" t="str">
        <f t="shared" ref="CU254:DZ254" si="363">IF(CU174=1, CU$154/CU$156, "")</f>
        <v/>
      </c>
      <c r="CV254" s="499" t="str">
        <f t="shared" si="363"/>
        <v/>
      </c>
      <c r="CW254" s="499" t="str">
        <f t="shared" si="363"/>
        <v/>
      </c>
      <c r="CX254" s="499" t="str">
        <f t="shared" si="363"/>
        <v/>
      </c>
      <c r="CY254" s="499" t="str">
        <f t="shared" si="363"/>
        <v/>
      </c>
      <c r="CZ254" s="499" t="str">
        <f t="shared" si="363"/>
        <v/>
      </c>
      <c r="DA254" s="499" t="str">
        <f t="shared" si="363"/>
        <v/>
      </c>
      <c r="DB254" s="499" t="str">
        <f t="shared" si="363"/>
        <v/>
      </c>
      <c r="DC254" s="499">
        <f t="shared" si="363"/>
        <v>232699.375</v>
      </c>
      <c r="DD254" s="499" t="str">
        <f t="shared" si="363"/>
        <v/>
      </c>
      <c r="DE254" s="499" t="str">
        <f t="shared" si="363"/>
        <v/>
      </c>
      <c r="DF254" s="499" t="str">
        <f t="shared" si="363"/>
        <v/>
      </c>
      <c r="DG254" s="499" t="str">
        <f t="shared" si="363"/>
        <v/>
      </c>
      <c r="DH254" s="499" t="str">
        <f t="shared" si="363"/>
        <v/>
      </c>
      <c r="DI254" s="499" t="str">
        <f t="shared" si="363"/>
        <v/>
      </c>
      <c r="DJ254" s="499" t="str">
        <f t="shared" si="363"/>
        <v/>
      </c>
      <c r="DK254" s="499">
        <f t="shared" si="363"/>
        <v>250</v>
      </c>
      <c r="DL254" s="499" t="str">
        <f t="shared" si="363"/>
        <v/>
      </c>
      <c r="DM254" s="499" t="str">
        <f t="shared" si="363"/>
        <v/>
      </c>
      <c r="DN254" s="499" t="str">
        <f t="shared" si="363"/>
        <v/>
      </c>
      <c r="DO254" s="499" t="str">
        <f t="shared" si="363"/>
        <v/>
      </c>
      <c r="DP254" s="499">
        <f t="shared" si="363"/>
        <v>62500</v>
      </c>
      <c r="DQ254" s="499" t="str">
        <f t="shared" si="363"/>
        <v/>
      </c>
      <c r="DR254" s="499" t="str">
        <f t="shared" si="363"/>
        <v/>
      </c>
      <c r="DS254" s="499" t="str">
        <f t="shared" si="363"/>
        <v/>
      </c>
      <c r="DT254" s="499">
        <f t="shared" si="363"/>
        <v>142538</v>
      </c>
      <c r="DU254" s="499" t="str">
        <f t="shared" si="363"/>
        <v/>
      </c>
      <c r="DV254" s="499" t="str">
        <f t="shared" si="363"/>
        <v/>
      </c>
      <c r="DW254" s="499" t="str">
        <f t="shared" si="363"/>
        <v/>
      </c>
      <c r="DX254" s="499" t="str">
        <f t="shared" si="363"/>
        <v/>
      </c>
      <c r="DY254" s="499">
        <f t="shared" si="363"/>
        <v>0</v>
      </c>
      <c r="DZ254" s="499" t="str">
        <f t="shared" si="363"/>
        <v/>
      </c>
      <c r="EA254" s="499" t="str">
        <f t="shared" ref="EA254:EI254" si="364">IF(EA174=1, EA$154/EA$156, "")</f>
        <v/>
      </c>
      <c r="EB254" s="499" t="str">
        <f t="shared" si="364"/>
        <v/>
      </c>
      <c r="EC254" s="499" t="str">
        <f t="shared" si="364"/>
        <v/>
      </c>
      <c r="ED254" s="499" t="str">
        <f t="shared" si="364"/>
        <v/>
      </c>
      <c r="EE254" s="499" t="str">
        <f t="shared" si="364"/>
        <v/>
      </c>
      <c r="EF254" s="499" t="str">
        <f t="shared" si="364"/>
        <v/>
      </c>
      <c r="EG254" s="499" t="str">
        <f t="shared" si="364"/>
        <v/>
      </c>
      <c r="EH254" s="499" t="str">
        <f t="shared" si="364"/>
        <v/>
      </c>
      <c r="EI254" s="499" t="str">
        <f t="shared" si="364"/>
        <v/>
      </c>
      <c r="EJ254" s="499">
        <f t="shared" si="289"/>
        <v>5793586.1891025649</v>
      </c>
      <c r="EK254" s="67"/>
      <c r="EL254" s="67"/>
      <c r="EM254" s="67"/>
      <c r="EN254" s="67"/>
      <c r="EO254" s="67"/>
      <c r="EP254" s="67"/>
      <c r="EQ254" s="67"/>
      <c r="ER254" s="67"/>
      <c r="ES254" s="67"/>
      <c r="ET254" s="67"/>
      <c r="EU254" s="67"/>
      <c r="EV254" s="67"/>
      <c r="EW254" s="67"/>
      <c r="EX254" s="67"/>
      <c r="EY254" s="67"/>
      <c r="EZ254" s="67"/>
    </row>
    <row r="255" spans="1:156">
      <c r="B255" s="500" t="s">
        <v>70</v>
      </c>
      <c r="C255" s="499" t="str">
        <f t="shared" ref="C255:AH255" si="365">IF(C175=1, C$154/C$156, "")</f>
        <v/>
      </c>
      <c r="D255" s="499" t="str">
        <f t="shared" si="365"/>
        <v/>
      </c>
      <c r="E255" s="499" t="str">
        <f t="shared" si="365"/>
        <v/>
      </c>
      <c r="F255" s="499" t="str">
        <f t="shared" si="365"/>
        <v/>
      </c>
      <c r="G255" s="499" t="str">
        <f t="shared" si="365"/>
        <v/>
      </c>
      <c r="H255" s="499" t="str">
        <f t="shared" si="365"/>
        <v/>
      </c>
      <c r="I255" s="499" t="str">
        <f t="shared" si="365"/>
        <v/>
      </c>
      <c r="J255" s="499" t="str">
        <f t="shared" si="365"/>
        <v/>
      </c>
      <c r="K255" s="499">
        <f t="shared" si="365"/>
        <v>877500</v>
      </c>
      <c r="L255" s="499">
        <f t="shared" si="365"/>
        <v>683000</v>
      </c>
      <c r="M255" s="499" t="str">
        <f t="shared" si="365"/>
        <v/>
      </c>
      <c r="N255" s="499">
        <f t="shared" si="365"/>
        <v>0</v>
      </c>
      <c r="O255" s="499">
        <f t="shared" si="365"/>
        <v>0</v>
      </c>
      <c r="P255" s="499" t="str">
        <f t="shared" si="365"/>
        <v/>
      </c>
      <c r="Q255" s="499" t="str">
        <f t="shared" si="365"/>
        <v/>
      </c>
      <c r="R255" s="499" t="str">
        <f t="shared" si="365"/>
        <v/>
      </c>
      <c r="S255" s="499" t="str">
        <f t="shared" si="365"/>
        <v/>
      </c>
      <c r="T255" s="499" t="str">
        <f t="shared" si="365"/>
        <v/>
      </c>
      <c r="U255" s="499" t="str">
        <f t="shared" si="365"/>
        <v/>
      </c>
      <c r="V255" s="499">
        <f t="shared" si="365"/>
        <v>4225333.333333333</v>
      </c>
      <c r="W255" s="499">
        <f t="shared" si="365"/>
        <v>10000</v>
      </c>
      <c r="X255" s="499" t="str">
        <f t="shared" si="365"/>
        <v/>
      </c>
      <c r="Y255" s="499" t="str">
        <f t="shared" si="365"/>
        <v/>
      </c>
      <c r="Z255" s="499" t="str">
        <f t="shared" si="365"/>
        <v/>
      </c>
      <c r="AA255" s="499" t="str">
        <f t="shared" si="365"/>
        <v/>
      </c>
      <c r="AB255" s="499">
        <f t="shared" si="365"/>
        <v>821956</v>
      </c>
      <c r="AC255" s="499" t="str">
        <f t="shared" si="365"/>
        <v/>
      </c>
      <c r="AD255" s="499" t="str">
        <f t="shared" si="365"/>
        <v/>
      </c>
      <c r="AE255" s="499">
        <f t="shared" si="365"/>
        <v>1666666.6666666667</v>
      </c>
      <c r="AF255" s="499" t="str">
        <f t="shared" si="365"/>
        <v/>
      </c>
      <c r="AG255" s="499" t="str">
        <f t="shared" si="365"/>
        <v/>
      </c>
      <c r="AH255" s="499">
        <f t="shared" si="365"/>
        <v>0</v>
      </c>
      <c r="AI255" s="499" t="str">
        <f t="shared" ref="AI255:BN255" si="366">IF(AI175=1, AI$154/AI$156, "")</f>
        <v/>
      </c>
      <c r="AJ255" s="499" t="str">
        <f t="shared" si="366"/>
        <v/>
      </c>
      <c r="AK255" s="499" t="str">
        <f t="shared" si="366"/>
        <v/>
      </c>
      <c r="AL255" s="499" t="str">
        <f t="shared" si="366"/>
        <v/>
      </c>
      <c r="AM255" s="499" t="str">
        <f t="shared" si="366"/>
        <v/>
      </c>
      <c r="AN255" s="499" t="str">
        <f t="shared" si="366"/>
        <v/>
      </c>
      <c r="AO255" s="499" t="str">
        <f t="shared" si="366"/>
        <v/>
      </c>
      <c r="AP255" s="499" t="str">
        <f t="shared" si="366"/>
        <v/>
      </c>
      <c r="AQ255" s="499">
        <f t="shared" si="366"/>
        <v>25300</v>
      </c>
      <c r="AR255" s="499" t="str">
        <f t="shared" si="366"/>
        <v/>
      </c>
      <c r="AS255" s="499" t="str">
        <f t="shared" si="366"/>
        <v/>
      </c>
      <c r="AT255" s="499" t="str">
        <f t="shared" si="366"/>
        <v/>
      </c>
      <c r="AU255" s="499">
        <f t="shared" si="366"/>
        <v>3404.375</v>
      </c>
      <c r="AV255" s="499" t="str">
        <f t="shared" si="366"/>
        <v/>
      </c>
      <c r="AW255" s="499" t="str">
        <f t="shared" si="366"/>
        <v/>
      </c>
      <c r="AX255" s="499" t="str">
        <f t="shared" si="366"/>
        <v/>
      </c>
      <c r="AY255" s="499" t="str">
        <f t="shared" si="366"/>
        <v/>
      </c>
      <c r="AZ255" s="499" t="str">
        <f t="shared" si="366"/>
        <v/>
      </c>
      <c r="BA255" s="499">
        <f t="shared" si="366"/>
        <v>1250</v>
      </c>
      <c r="BB255" s="499" t="str">
        <f t="shared" si="366"/>
        <v/>
      </c>
      <c r="BC255" s="499" t="str">
        <f t="shared" si="366"/>
        <v/>
      </c>
      <c r="BD255" s="499" t="str">
        <f t="shared" si="366"/>
        <v/>
      </c>
      <c r="BE255" s="499" t="str">
        <f t="shared" si="366"/>
        <v/>
      </c>
      <c r="BF255" s="499" t="str">
        <f t="shared" si="366"/>
        <v/>
      </c>
      <c r="BG255" s="499" t="str">
        <f t="shared" si="366"/>
        <v/>
      </c>
      <c r="BH255" s="499">
        <f t="shared" si="366"/>
        <v>0</v>
      </c>
      <c r="BI255" s="499">
        <f t="shared" si="366"/>
        <v>0</v>
      </c>
      <c r="BJ255" s="499">
        <f t="shared" si="366"/>
        <v>0</v>
      </c>
      <c r="BK255" s="499" t="str">
        <f t="shared" si="366"/>
        <v/>
      </c>
      <c r="BL255" s="499" t="str">
        <f t="shared" si="366"/>
        <v/>
      </c>
      <c r="BM255" s="499" t="str">
        <f t="shared" si="366"/>
        <v/>
      </c>
      <c r="BN255" s="499" t="str">
        <f t="shared" si="366"/>
        <v/>
      </c>
      <c r="BO255" s="499" t="str">
        <f t="shared" ref="BO255:CT255" si="367">IF(BO175=1, BO$154/BO$156, "")</f>
        <v/>
      </c>
      <c r="BP255" s="499" t="str">
        <f t="shared" si="367"/>
        <v/>
      </c>
      <c r="BQ255" s="499">
        <f t="shared" si="367"/>
        <v>16705625</v>
      </c>
      <c r="BR255" s="499" t="str">
        <f t="shared" si="367"/>
        <v/>
      </c>
      <c r="BS255" s="499">
        <f t="shared" si="367"/>
        <v>4294330</v>
      </c>
      <c r="BT255" s="499" t="str">
        <f t="shared" si="367"/>
        <v/>
      </c>
      <c r="BU255" s="499" t="str">
        <f t="shared" si="367"/>
        <v/>
      </c>
      <c r="BV255" s="499" t="str">
        <f t="shared" si="367"/>
        <v/>
      </c>
      <c r="BW255" s="499" t="str">
        <f t="shared" si="367"/>
        <v/>
      </c>
      <c r="BX255" s="499" t="str">
        <f t="shared" si="367"/>
        <v/>
      </c>
      <c r="BY255" s="499" t="str">
        <f t="shared" si="367"/>
        <v/>
      </c>
      <c r="BZ255" s="499">
        <f t="shared" si="367"/>
        <v>0</v>
      </c>
      <c r="CA255" s="499" t="str">
        <f t="shared" si="367"/>
        <v/>
      </c>
      <c r="CB255" s="499" t="str">
        <f t="shared" si="367"/>
        <v/>
      </c>
      <c r="CC255" s="499" t="str">
        <f t="shared" si="367"/>
        <v/>
      </c>
      <c r="CD255" s="499" t="str">
        <f t="shared" si="367"/>
        <v/>
      </c>
      <c r="CE255" s="499" t="str">
        <f t="shared" si="367"/>
        <v/>
      </c>
      <c r="CF255" s="499" t="str">
        <f t="shared" si="367"/>
        <v/>
      </c>
      <c r="CG255" s="499" t="str">
        <f t="shared" si="367"/>
        <v/>
      </c>
      <c r="CH255" s="499">
        <f t="shared" si="367"/>
        <v>0</v>
      </c>
      <c r="CI255" s="499">
        <f t="shared" si="367"/>
        <v>0</v>
      </c>
      <c r="CJ255" s="499" t="str">
        <f t="shared" si="367"/>
        <v/>
      </c>
      <c r="CK255" s="499" t="str">
        <f t="shared" si="367"/>
        <v/>
      </c>
      <c r="CL255" s="499" t="str">
        <f t="shared" si="367"/>
        <v/>
      </c>
      <c r="CM255" s="499" t="str">
        <f t="shared" si="367"/>
        <v/>
      </c>
      <c r="CN255" s="499" t="str">
        <f t="shared" si="367"/>
        <v/>
      </c>
      <c r="CO255" s="499" t="str">
        <f t="shared" si="367"/>
        <v/>
      </c>
      <c r="CP255" s="499" t="str">
        <f t="shared" si="367"/>
        <v/>
      </c>
      <c r="CQ255" s="499">
        <f t="shared" si="367"/>
        <v>1675000</v>
      </c>
      <c r="CR255" s="499">
        <f t="shared" si="367"/>
        <v>1238500</v>
      </c>
      <c r="CS255" s="499" t="str">
        <f t="shared" si="367"/>
        <v/>
      </c>
      <c r="CT255" s="499" t="str">
        <f t="shared" si="367"/>
        <v/>
      </c>
      <c r="CU255" s="499">
        <f t="shared" ref="CU255:DZ255" si="368">IF(CU175=1, CU$154/CU$156, "")</f>
        <v>75000</v>
      </c>
      <c r="CV255" s="499" t="str">
        <f t="shared" si="368"/>
        <v/>
      </c>
      <c r="CW255" s="499" t="str">
        <f t="shared" si="368"/>
        <v/>
      </c>
      <c r="CX255" s="499" t="str">
        <f t="shared" si="368"/>
        <v/>
      </c>
      <c r="CY255" s="499" t="str">
        <f t="shared" si="368"/>
        <v/>
      </c>
      <c r="CZ255" s="499" t="str">
        <f t="shared" si="368"/>
        <v/>
      </c>
      <c r="DA255" s="499">
        <f t="shared" si="368"/>
        <v>0</v>
      </c>
      <c r="DB255" s="499" t="str">
        <f t="shared" si="368"/>
        <v/>
      </c>
      <c r="DC255" s="499" t="str">
        <f t="shared" si="368"/>
        <v/>
      </c>
      <c r="DD255" s="499" t="str">
        <f t="shared" si="368"/>
        <v/>
      </c>
      <c r="DE255" s="499" t="str">
        <f t="shared" si="368"/>
        <v/>
      </c>
      <c r="DF255" s="499" t="str">
        <f t="shared" si="368"/>
        <v/>
      </c>
      <c r="DG255" s="499" t="str">
        <f t="shared" si="368"/>
        <v/>
      </c>
      <c r="DH255" s="499" t="str">
        <f t="shared" si="368"/>
        <v/>
      </c>
      <c r="DI255" s="499" t="str">
        <f t="shared" si="368"/>
        <v/>
      </c>
      <c r="DJ255" s="499" t="str">
        <f t="shared" si="368"/>
        <v/>
      </c>
      <c r="DK255" s="499" t="str">
        <f t="shared" si="368"/>
        <v/>
      </c>
      <c r="DL255" s="499">
        <f t="shared" si="368"/>
        <v>358500</v>
      </c>
      <c r="DM255" s="499">
        <f t="shared" si="368"/>
        <v>13133.5</v>
      </c>
      <c r="DN255" s="499">
        <f t="shared" si="368"/>
        <v>1350</v>
      </c>
      <c r="DO255" s="499">
        <f t="shared" si="368"/>
        <v>4482461</v>
      </c>
      <c r="DP255" s="499" t="str">
        <f t="shared" si="368"/>
        <v/>
      </c>
      <c r="DQ255" s="499" t="str">
        <f t="shared" si="368"/>
        <v/>
      </c>
      <c r="DR255" s="499" t="str">
        <f t="shared" si="368"/>
        <v/>
      </c>
      <c r="DS255" s="499" t="str">
        <f t="shared" si="368"/>
        <v/>
      </c>
      <c r="DT255" s="499" t="str">
        <f t="shared" si="368"/>
        <v/>
      </c>
      <c r="DU255" s="499">
        <f t="shared" si="368"/>
        <v>1479900</v>
      </c>
      <c r="DV255" s="499">
        <f t="shared" si="368"/>
        <v>387000</v>
      </c>
      <c r="DW255" s="499" t="str">
        <f t="shared" si="368"/>
        <v/>
      </c>
      <c r="DX255" s="499" t="str">
        <f t="shared" si="368"/>
        <v/>
      </c>
      <c r="DY255" s="499" t="str">
        <f t="shared" si="368"/>
        <v/>
      </c>
      <c r="DZ255" s="499" t="str">
        <f t="shared" si="368"/>
        <v/>
      </c>
      <c r="EA255" s="499" t="str">
        <f t="shared" ref="EA255:EI255" si="369">IF(EA175=1, EA$154/EA$156, "")</f>
        <v/>
      </c>
      <c r="EB255" s="499">
        <f t="shared" si="369"/>
        <v>0</v>
      </c>
      <c r="EC255" s="499">
        <f t="shared" si="369"/>
        <v>514565</v>
      </c>
      <c r="ED255" s="499" t="str">
        <f t="shared" si="369"/>
        <v/>
      </c>
      <c r="EE255" s="499" t="str">
        <f t="shared" si="369"/>
        <v/>
      </c>
      <c r="EF255" s="499" t="str">
        <f t="shared" si="369"/>
        <v/>
      </c>
      <c r="EG255" s="499" t="str">
        <f t="shared" si="369"/>
        <v/>
      </c>
      <c r="EH255" s="499" t="str">
        <f t="shared" si="369"/>
        <v/>
      </c>
      <c r="EI255" s="499" t="str">
        <f t="shared" si="369"/>
        <v/>
      </c>
      <c r="EJ255" s="499">
        <f t="shared" si="289"/>
        <v>39539774.875</v>
      </c>
      <c r="EK255" s="67"/>
      <c r="EL255" s="67"/>
      <c r="EM255" s="67"/>
      <c r="EN255" s="67"/>
      <c r="EO255" s="67"/>
      <c r="EP255" s="67"/>
      <c r="EQ255" s="67"/>
      <c r="ER255" s="67"/>
      <c r="ES255" s="67"/>
      <c r="ET255" s="67"/>
      <c r="EU255" s="67"/>
      <c r="EV255" s="67"/>
      <c r="EW255" s="67"/>
      <c r="EX255" s="67"/>
      <c r="EY255" s="67"/>
      <c r="EZ255" s="67"/>
    </row>
    <row r="256" spans="1:156" s="92" customFormat="1">
      <c r="A256" s="61"/>
      <c r="B256" s="498" t="s">
        <v>581</v>
      </c>
      <c r="C256" s="497" t="str">
        <f t="shared" ref="C256:AH256" si="370">IF(SUM(C239:C255)=C154, "Consistent", "Inconsistent")</f>
        <v>Consistent</v>
      </c>
      <c r="D256" s="497" t="str">
        <f t="shared" si="370"/>
        <v>Consistent</v>
      </c>
      <c r="E256" s="497" t="str">
        <f t="shared" si="370"/>
        <v>Consistent</v>
      </c>
      <c r="F256" s="497" t="str">
        <f t="shared" si="370"/>
        <v>Consistent</v>
      </c>
      <c r="G256" s="497" t="str">
        <f t="shared" si="370"/>
        <v>Consistent</v>
      </c>
      <c r="H256" s="497" t="str">
        <f t="shared" si="370"/>
        <v>Consistent</v>
      </c>
      <c r="I256" s="497" t="str">
        <f t="shared" si="370"/>
        <v>Consistent</v>
      </c>
      <c r="J256" s="497" t="str">
        <f t="shared" si="370"/>
        <v>Consistent</v>
      </c>
      <c r="K256" s="497" t="str">
        <f t="shared" si="370"/>
        <v>Consistent</v>
      </c>
      <c r="L256" s="497" t="str">
        <f t="shared" si="370"/>
        <v>Consistent</v>
      </c>
      <c r="M256" s="497" t="str">
        <f t="shared" si="370"/>
        <v>Consistent</v>
      </c>
      <c r="N256" s="497" t="str">
        <f t="shared" si="370"/>
        <v>Consistent</v>
      </c>
      <c r="O256" s="497" t="str">
        <f t="shared" si="370"/>
        <v>Consistent</v>
      </c>
      <c r="P256" s="497" t="str">
        <f t="shared" si="370"/>
        <v>Consistent</v>
      </c>
      <c r="Q256" s="497" t="str">
        <f t="shared" si="370"/>
        <v>Consistent</v>
      </c>
      <c r="R256" s="497" t="str">
        <f t="shared" si="370"/>
        <v>Consistent</v>
      </c>
      <c r="S256" s="497" t="str">
        <f t="shared" si="370"/>
        <v>Consistent</v>
      </c>
      <c r="T256" s="497" t="str">
        <f t="shared" si="370"/>
        <v>Consistent</v>
      </c>
      <c r="U256" s="497" t="str">
        <f t="shared" si="370"/>
        <v>Consistent</v>
      </c>
      <c r="V256" s="497" t="str">
        <f t="shared" si="370"/>
        <v>Consistent</v>
      </c>
      <c r="W256" s="497" t="str">
        <f t="shared" si="370"/>
        <v>Consistent</v>
      </c>
      <c r="X256" s="497" t="str">
        <f t="shared" si="370"/>
        <v>Consistent</v>
      </c>
      <c r="Y256" s="497" t="str">
        <f t="shared" si="370"/>
        <v>Consistent</v>
      </c>
      <c r="Z256" s="497" t="str">
        <f t="shared" si="370"/>
        <v>Consistent</v>
      </c>
      <c r="AA256" s="497" t="str">
        <f t="shared" si="370"/>
        <v>Consistent</v>
      </c>
      <c r="AB256" s="497" t="str">
        <f t="shared" si="370"/>
        <v>Consistent</v>
      </c>
      <c r="AC256" s="497" t="str">
        <f t="shared" si="370"/>
        <v>Consistent</v>
      </c>
      <c r="AD256" s="497" t="str">
        <f t="shared" si="370"/>
        <v>Consistent</v>
      </c>
      <c r="AE256" s="497" t="str">
        <f t="shared" si="370"/>
        <v>Consistent</v>
      </c>
      <c r="AF256" s="497" t="str">
        <f t="shared" si="370"/>
        <v>Consistent</v>
      </c>
      <c r="AG256" s="497" t="str">
        <f t="shared" si="370"/>
        <v>Consistent</v>
      </c>
      <c r="AH256" s="497" t="str">
        <f t="shared" si="370"/>
        <v>Consistent</v>
      </c>
      <c r="AI256" s="497" t="str">
        <f t="shared" ref="AI256:BN256" si="371">IF(SUM(AI239:AI255)=AI154, "Consistent", "Inconsistent")</f>
        <v>Consistent</v>
      </c>
      <c r="AJ256" s="497" t="str">
        <f t="shared" si="371"/>
        <v>Consistent</v>
      </c>
      <c r="AK256" s="497" t="str">
        <f t="shared" si="371"/>
        <v>Consistent</v>
      </c>
      <c r="AL256" s="497" t="str">
        <f t="shared" si="371"/>
        <v>Consistent</v>
      </c>
      <c r="AM256" s="497" t="str">
        <f t="shared" si="371"/>
        <v>Consistent</v>
      </c>
      <c r="AN256" s="497" t="str">
        <f t="shared" si="371"/>
        <v>Consistent</v>
      </c>
      <c r="AO256" s="497" t="str">
        <f t="shared" si="371"/>
        <v>Consistent</v>
      </c>
      <c r="AP256" s="497" t="str">
        <f t="shared" si="371"/>
        <v>Consistent</v>
      </c>
      <c r="AQ256" s="497" t="str">
        <f t="shared" si="371"/>
        <v>Consistent</v>
      </c>
      <c r="AR256" s="497" t="str">
        <f t="shared" si="371"/>
        <v>Consistent</v>
      </c>
      <c r="AS256" s="497" t="str">
        <f t="shared" si="371"/>
        <v>Consistent</v>
      </c>
      <c r="AT256" s="497" t="str">
        <f t="shared" si="371"/>
        <v>Consistent</v>
      </c>
      <c r="AU256" s="497" t="str">
        <f t="shared" si="371"/>
        <v>Consistent</v>
      </c>
      <c r="AV256" s="497" t="str">
        <f t="shared" si="371"/>
        <v>Consistent</v>
      </c>
      <c r="AW256" s="497" t="str">
        <f t="shared" si="371"/>
        <v>Consistent</v>
      </c>
      <c r="AX256" s="497" t="str">
        <f t="shared" si="371"/>
        <v>Consistent</v>
      </c>
      <c r="AY256" s="497" t="str">
        <f t="shared" si="371"/>
        <v>Consistent</v>
      </c>
      <c r="AZ256" s="497" t="str">
        <f t="shared" si="371"/>
        <v>Consistent</v>
      </c>
      <c r="BA256" s="497" t="str">
        <f t="shared" si="371"/>
        <v>Consistent</v>
      </c>
      <c r="BB256" s="497" t="str">
        <f t="shared" si="371"/>
        <v>Consistent</v>
      </c>
      <c r="BC256" s="497" t="str">
        <f t="shared" si="371"/>
        <v>Consistent</v>
      </c>
      <c r="BD256" s="497" t="str">
        <f t="shared" si="371"/>
        <v>Consistent</v>
      </c>
      <c r="BE256" s="497" t="str">
        <f t="shared" si="371"/>
        <v>Consistent</v>
      </c>
      <c r="BF256" s="497" t="str">
        <f t="shared" si="371"/>
        <v>Consistent</v>
      </c>
      <c r="BG256" s="497" t="str">
        <f t="shared" si="371"/>
        <v>Consistent</v>
      </c>
      <c r="BH256" s="497" t="str">
        <f t="shared" si="371"/>
        <v>Consistent</v>
      </c>
      <c r="BI256" s="497" t="str">
        <f t="shared" si="371"/>
        <v>Consistent</v>
      </c>
      <c r="BJ256" s="497" t="str">
        <f t="shared" si="371"/>
        <v>Consistent</v>
      </c>
      <c r="BK256" s="497" t="str">
        <f t="shared" si="371"/>
        <v>Consistent</v>
      </c>
      <c r="BL256" s="497" t="str">
        <f t="shared" si="371"/>
        <v>Consistent</v>
      </c>
      <c r="BM256" s="497" t="str">
        <f t="shared" si="371"/>
        <v>Consistent</v>
      </c>
      <c r="BN256" s="497" t="str">
        <f t="shared" si="371"/>
        <v>Consistent</v>
      </c>
      <c r="BO256" s="497" t="str">
        <f t="shared" ref="BO256:CT256" si="372">IF(SUM(BO239:BO255)=BO154, "Consistent", "Inconsistent")</f>
        <v>Consistent</v>
      </c>
      <c r="BP256" s="497" t="str">
        <f t="shared" si="372"/>
        <v>Consistent</v>
      </c>
      <c r="BQ256" s="497" t="str">
        <f t="shared" si="372"/>
        <v>Consistent</v>
      </c>
      <c r="BR256" s="497" t="str">
        <f t="shared" si="372"/>
        <v>Consistent</v>
      </c>
      <c r="BS256" s="497" t="str">
        <f t="shared" si="372"/>
        <v>Consistent</v>
      </c>
      <c r="BT256" s="497" t="str">
        <f t="shared" si="372"/>
        <v>Consistent</v>
      </c>
      <c r="BU256" s="497" t="str">
        <f t="shared" si="372"/>
        <v>Consistent</v>
      </c>
      <c r="BV256" s="497" t="str">
        <f t="shared" si="372"/>
        <v>Consistent</v>
      </c>
      <c r="BW256" s="497" t="str">
        <f t="shared" si="372"/>
        <v>Consistent</v>
      </c>
      <c r="BX256" s="497" t="str">
        <f t="shared" si="372"/>
        <v>Consistent</v>
      </c>
      <c r="BY256" s="497" t="str">
        <f t="shared" si="372"/>
        <v>Consistent</v>
      </c>
      <c r="BZ256" s="497" t="str">
        <f t="shared" si="372"/>
        <v>Consistent</v>
      </c>
      <c r="CA256" s="497" t="str">
        <f t="shared" si="372"/>
        <v>Consistent</v>
      </c>
      <c r="CB256" s="497" t="str">
        <f t="shared" si="372"/>
        <v>Consistent</v>
      </c>
      <c r="CC256" s="497" t="str">
        <f t="shared" si="372"/>
        <v>Consistent</v>
      </c>
      <c r="CD256" s="497" t="str">
        <f t="shared" si="372"/>
        <v>Consistent</v>
      </c>
      <c r="CE256" s="497" t="str">
        <f t="shared" si="372"/>
        <v>Consistent</v>
      </c>
      <c r="CF256" s="497" t="str">
        <f t="shared" si="372"/>
        <v>Consistent</v>
      </c>
      <c r="CG256" s="497" t="str">
        <f t="shared" si="372"/>
        <v>Consistent</v>
      </c>
      <c r="CH256" s="497" t="str">
        <f t="shared" si="372"/>
        <v>Consistent</v>
      </c>
      <c r="CI256" s="497" t="str">
        <f t="shared" si="372"/>
        <v>Consistent</v>
      </c>
      <c r="CJ256" s="497" t="str">
        <f t="shared" si="372"/>
        <v>Consistent</v>
      </c>
      <c r="CK256" s="497" t="str">
        <f t="shared" si="372"/>
        <v>Consistent</v>
      </c>
      <c r="CL256" s="497" t="str">
        <f t="shared" si="372"/>
        <v>Consistent</v>
      </c>
      <c r="CM256" s="497" t="str">
        <f t="shared" si="372"/>
        <v>Consistent</v>
      </c>
      <c r="CN256" s="497" t="str">
        <f t="shared" si="372"/>
        <v>Consistent</v>
      </c>
      <c r="CO256" s="497" t="str">
        <f t="shared" si="372"/>
        <v>Consistent</v>
      </c>
      <c r="CP256" s="497" t="str">
        <f t="shared" si="372"/>
        <v>Consistent</v>
      </c>
      <c r="CQ256" s="497" t="str">
        <f t="shared" si="372"/>
        <v>Consistent</v>
      </c>
      <c r="CR256" s="497" t="str">
        <f t="shared" si="372"/>
        <v>Consistent</v>
      </c>
      <c r="CS256" s="497" t="str">
        <f t="shared" si="372"/>
        <v>Consistent</v>
      </c>
      <c r="CT256" s="497" t="str">
        <f t="shared" si="372"/>
        <v>Consistent</v>
      </c>
      <c r="CU256" s="497" t="str">
        <f t="shared" ref="CU256:DZ256" si="373">IF(SUM(CU239:CU255)=CU154, "Consistent", "Inconsistent")</f>
        <v>Consistent</v>
      </c>
      <c r="CV256" s="497" t="str">
        <f t="shared" si="373"/>
        <v>Consistent</v>
      </c>
      <c r="CW256" s="497" t="str">
        <f t="shared" si="373"/>
        <v>Consistent</v>
      </c>
      <c r="CX256" s="497" t="str">
        <f t="shared" si="373"/>
        <v>Consistent</v>
      </c>
      <c r="CY256" s="497" t="str">
        <f t="shared" si="373"/>
        <v>Consistent</v>
      </c>
      <c r="CZ256" s="497" t="str">
        <f t="shared" si="373"/>
        <v>Consistent</v>
      </c>
      <c r="DA256" s="497" t="str">
        <f t="shared" si="373"/>
        <v>Consistent</v>
      </c>
      <c r="DB256" s="497" t="str">
        <f t="shared" si="373"/>
        <v>Consistent</v>
      </c>
      <c r="DC256" s="497" t="str">
        <f t="shared" si="373"/>
        <v>Consistent</v>
      </c>
      <c r="DD256" s="497" t="str">
        <f t="shared" si="373"/>
        <v>Consistent</v>
      </c>
      <c r="DE256" s="497" t="str">
        <f t="shared" si="373"/>
        <v>Consistent</v>
      </c>
      <c r="DF256" s="497" t="str">
        <f t="shared" si="373"/>
        <v>Consistent</v>
      </c>
      <c r="DG256" s="497" t="str">
        <f t="shared" si="373"/>
        <v>Consistent</v>
      </c>
      <c r="DH256" s="497" t="str">
        <f t="shared" si="373"/>
        <v>Consistent</v>
      </c>
      <c r="DI256" s="497" t="str">
        <f t="shared" si="373"/>
        <v>Consistent</v>
      </c>
      <c r="DJ256" s="497" t="str">
        <f t="shared" si="373"/>
        <v>Consistent</v>
      </c>
      <c r="DK256" s="497" t="str">
        <f t="shared" si="373"/>
        <v>Consistent</v>
      </c>
      <c r="DL256" s="497" t="str">
        <f t="shared" si="373"/>
        <v>Consistent</v>
      </c>
      <c r="DM256" s="497" t="str">
        <f t="shared" si="373"/>
        <v>Consistent</v>
      </c>
      <c r="DN256" s="497" t="str">
        <f t="shared" si="373"/>
        <v>Consistent</v>
      </c>
      <c r="DO256" s="497" t="str">
        <f t="shared" si="373"/>
        <v>Consistent</v>
      </c>
      <c r="DP256" s="497" t="str">
        <f t="shared" si="373"/>
        <v>Consistent</v>
      </c>
      <c r="DQ256" s="497" t="str">
        <f t="shared" si="373"/>
        <v>Consistent</v>
      </c>
      <c r="DR256" s="497" t="str">
        <f t="shared" si="373"/>
        <v>Consistent</v>
      </c>
      <c r="DS256" s="497" t="str">
        <f t="shared" si="373"/>
        <v>Consistent</v>
      </c>
      <c r="DT256" s="497" t="str">
        <f t="shared" si="373"/>
        <v>Consistent</v>
      </c>
      <c r="DU256" s="497" t="str">
        <f t="shared" si="373"/>
        <v>Consistent</v>
      </c>
      <c r="DV256" s="497" t="str">
        <f t="shared" si="373"/>
        <v>Consistent</v>
      </c>
      <c r="DW256" s="497" t="str">
        <f t="shared" si="373"/>
        <v>Consistent</v>
      </c>
      <c r="DX256" s="497" t="str">
        <f t="shared" si="373"/>
        <v>Consistent</v>
      </c>
      <c r="DY256" s="497" t="str">
        <f t="shared" si="373"/>
        <v>Consistent</v>
      </c>
      <c r="DZ256" s="497" t="str">
        <f t="shared" si="373"/>
        <v>Consistent</v>
      </c>
      <c r="EA256" s="497" t="str">
        <f t="shared" ref="EA256:EI256" si="374">IF(SUM(EA239:EA255)=EA154, "Consistent", "Inconsistent")</f>
        <v>Consistent</v>
      </c>
      <c r="EB256" s="497" t="str">
        <f t="shared" si="374"/>
        <v>Consistent</v>
      </c>
      <c r="EC256" s="497" t="str">
        <f t="shared" si="374"/>
        <v>Consistent</v>
      </c>
      <c r="ED256" s="497" t="str">
        <f t="shared" si="374"/>
        <v>Consistent</v>
      </c>
      <c r="EE256" s="497" t="str">
        <f t="shared" si="374"/>
        <v>Consistent</v>
      </c>
      <c r="EF256" s="497" t="str">
        <f t="shared" si="374"/>
        <v>Consistent</v>
      </c>
      <c r="EG256" s="497" t="str">
        <f t="shared" si="374"/>
        <v>Consistent</v>
      </c>
      <c r="EH256" s="497" t="str">
        <f t="shared" si="374"/>
        <v>Consistent</v>
      </c>
      <c r="EI256" s="497" t="str">
        <f t="shared" si="374"/>
        <v>Consistent</v>
      </c>
      <c r="EJ256" s="496">
        <f>SUM(EJ239:EJ255)</f>
        <v>429544563.00666672</v>
      </c>
    </row>
    <row r="257" spans="2:177"/>
    <row r="258" spans="2:177">
      <c r="B258" s="642" t="s">
        <v>840</v>
      </c>
    </row>
    <row r="259" spans="2:177">
      <c r="B259" s="234" t="s">
        <v>836</v>
      </c>
      <c r="C259" s="369">
        <v>134.02000000000001</v>
      </c>
      <c r="E259" s="643" t="s">
        <v>838</v>
      </c>
      <c r="F259" s="644">
        <f>C259/C260</f>
        <v>0.96064798222349668</v>
      </c>
    </row>
    <row r="260" spans="2:177">
      <c r="B260" s="234" t="s">
        <v>837</v>
      </c>
      <c r="C260" s="369">
        <v>139.51</v>
      </c>
    </row>
    <row r="261" spans="2:177">
      <c r="B261" s="641" t="s">
        <v>839</v>
      </c>
    </row>
    <row r="262" spans="2:177"/>
    <row r="263" spans="2:177" ht="21.6" thickBot="1">
      <c r="B263" s="613" t="s">
        <v>829</v>
      </c>
    </row>
    <row r="264" spans="2:177" ht="43.8" thickBot="1">
      <c r="B264" s="71" t="s">
        <v>572</v>
      </c>
      <c r="C264" s="96" t="s">
        <v>240</v>
      </c>
      <c r="D264" s="470">
        <v>2013</v>
      </c>
      <c r="E264" s="469" t="s">
        <v>768</v>
      </c>
      <c r="F264" s="469" t="s">
        <v>767</v>
      </c>
      <c r="G264" s="107" t="s">
        <v>607</v>
      </c>
      <c r="H264" s="470">
        <v>2014</v>
      </c>
      <c r="I264" s="469" t="s">
        <v>768</v>
      </c>
      <c r="J264" s="469" t="s">
        <v>767</v>
      </c>
      <c r="K264" s="107" t="s">
        <v>608</v>
      </c>
      <c r="L264" s="107" t="s">
        <v>835</v>
      </c>
      <c r="M264" s="470">
        <v>2015</v>
      </c>
      <c r="N264" s="470" t="s">
        <v>768</v>
      </c>
      <c r="O264" s="469" t="s">
        <v>767</v>
      </c>
      <c r="P264" s="107" t="s">
        <v>609</v>
      </c>
      <c r="Q264" s="107" t="s">
        <v>841</v>
      </c>
      <c r="R264" s="470">
        <v>2016</v>
      </c>
      <c r="S264" s="470" t="s">
        <v>768</v>
      </c>
      <c r="T264" s="469" t="s">
        <v>767</v>
      </c>
      <c r="U264" s="107" t="s">
        <v>610</v>
      </c>
      <c r="V264" s="107" t="s">
        <v>842</v>
      </c>
      <c r="W264" s="470" t="s">
        <v>290</v>
      </c>
      <c r="X264" s="470" t="s">
        <v>768</v>
      </c>
      <c r="Y264" s="469" t="s">
        <v>767</v>
      </c>
      <c r="Z264" s="270" t="s">
        <v>769</v>
      </c>
      <c r="AA264" s="469" t="s">
        <v>301</v>
      </c>
      <c r="AB264" s="470" t="s">
        <v>768</v>
      </c>
      <c r="AC264" s="469" t="s">
        <v>767</v>
      </c>
      <c r="AD264" s="107" t="s">
        <v>766</v>
      </c>
      <c r="AE264" s="270" t="s">
        <v>847</v>
      </c>
      <c r="AF264" s="270" t="s">
        <v>583</v>
      </c>
      <c r="AG264" s="72" t="s">
        <v>584</v>
      </c>
      <c r="FA264"/>
      <c r="FB264"/>
      <c r="FC264"/>
      <c r="FD264"/>
      <c r="FE264"/>
      <c r="FF264"/>
      <c r="FG264"/>
      <c r="FH264"/>
      <c r="FI264"/>
      <c r="FJ264"/>
      <c r="FK264"/>
      <c r="FL264"/>
      <c r="FM264"/>
      <c r="FN264"/>
      <c r="FO264"/>
      <c r="FP264"/>
      <c r="FQ264"/>
      <c r="FR264"/>
      <c r="FS264"/>
      <c r="FT264"/>
      <c r="FU264"/>
    </row>
    <row r="265" spans="2:177">
      <c r="B265" s="606" t="s">
        <v>573</v>
      </c>
      <c r="C265" s="607">
        <v>152</v>
      </c>
      <c r="D265" s="609">
        <v>46446933.17899999</v>
      </c>
      <c r="E265" s="609"/>
      <c r="F265" s="609"/>
      <c r="G265" s="467"/>
      <c r="H265" s="609">
        <v>47118555.557999998</v>
      </c>
      <c r="I265" s="609"/>
      <c r="J265" s="609"/>
      <c r="K265" s="467"/>
      <c r="L265" s="467"/>
      <c r="M265" s="609">
        <v>161742962.78999996</v>
      </c>
      <c r="N265" s="609"/>
      <c r="O265" s="609"/>
      <c r="P265" s="467"/>
      <c r="Q265" s="467"/>
      <c r="R265" s="609">
        <v>220683044.65866664</v>
      </c>
      <c r="S265" s="609"/>
      <c r="T265" s="609"/>
      <c r="U265" s="467"/>
      <c r="V265" s="467"/>
      <c r="W265" s="609">
        <v>372618583.97000003</v>
      </c>
      <c r="X265" s="609"/>
      <c r="Y265" s="609"/>
      <c r="Z265" s="467"/>
      <c r="AA265" s="609">
        <v>104011048</v>
      </c>
      <c r="AB265" s="609"/>
      <c r="AC265" s="609"/>
      <c r="AD265" s="467"/>
      <c r="AE265" s="609">
        <f t="shared" ref="AE265:AE284" si="375">SUM(AA265,W265,R265,M265,H265,D265)</f>
        <v>952621128.15566659</v>
      </c>
      <c r="AF265" s="609" t="s">
        <v>571</v>
      </c>
      <c r="AG265" s="608" t="s">
        <v>571</v>
      </c>
      <c r="FA265"/>
      <c r="FB265"/>
      <c r="FC265"/>
      <c r="FD265"/>
      <c r="FE265"/>
      <c r="FF265"/>
      <c r="FG265"/>
      <c r="FH265"/>
      <c r="FI265"/>
      <c r="FJ265"/>
      <c r="FK265"/>
      <c r="FL265"/>
      <c r="FM265"/>
      <c r="FN265"/>
      <c r="FO265"/>
      <c r="FP265"/>
      <c r="FQ265"/>
      <c r="FR265"/>
      <c r="FS265"/>
      <c r="FT265"/>
      <c r="FU265"/>
    </row>
    <row r="266" spans="2:177" ht="15" thickBot="1">
      <c r="B266" s="257" t="s">
        <v>14</v>
      </c>
      <c r="C266" s="258">
        <v>201</v>
      </c>
      <c r="D266" s="611">
        <v>203528080.7309888</v>
      </c>
      <c r="E266" s="374"/>
      <c r="F266" s="374"/>
      <c r="G266" s="467"/>
      <c r="H266" s="611">
        <v>269543654.26853192</v>
      </c>
      <c r="I266" s="374"/>
      <c r="J266" s="374"/>
      <c r="K266" s="467"/>
      <c r="L266" s="467"/>
      <c r="M266" s="611">
        <v>392762962.02689731</v>
      </c>
      <c r="N266" s="374"/>
      <c r="O266" s="374"/>
      <c r="P266" s="467"/>
      <c r="Q266" s="467"/>
      <c r="R266" s="611">
        <v>532814203.33021998</v>
      </c>
      <c r="S266" s="374"/>
      <c r="T266" s="374"/>
      <c r="U266" s="467"/>
      <c r="V266" s="467"/>
      <c r="W266" s="611">
        <v>957412078.92825007</v>
      </c>
      <c r="X266" s="374"/>
      <c r="Y266" s="374"/>
      <c r="Z266" s="467"/>
      <c r="AA266" s="611">
        <v>47437141.107999995</v>
      </c>
      <c r="AB266" s="374"/>
      <c r="AC266" s="374"/>
      <c r="AD266" s="467"/>
      <c r="AE266" s="611">
        <f t="shared" si="375"/>
        <v>2403498120.3928881</v>
      </c>
      <c r="AF266" s="374">
        <v>92335113</v>
      </c>
      <c r="AG266" s="263">
        <v>26029.90138099347</v>
      </c>
      <c r="AH266" t="s">
        <v>15</v>
      </c>
      <c r="AI266" t="s">
        <v>14</v>
      </c>
      <c r="AJ266" t="s">
        <v>602</v>
      </c>
      <c r="FA266"/>
      <c r="FB266"/>
      <c r="FC266"/>
      <c r="FD266"/>
      <c r="FE266"/>
      <c r="FF266"/>
      <c r="FG266"/>
      <c r="FH266"/>
      <c r="FI266"/>
      <c r="FJ266"/>
      <c r="FK266"/>
      <c r="FL266"/>
      <c r="FM266"/>
      <c r="FN266"/>
      <c r="FO266"/>
      <c r="FP266"/>
      <c r="FQ266"/>
      <c r="FR266"/>
      <c r="FS266"/>
      <c r="FT266"/>
      <c r="FU266"/>
    </row>
    <row r="267" spans="2:177">
      <c r="B267" s="257" t="s">
        <v>409</v>
      </c>
      <c r="C267" s="258">
        <v>57</v>
      </c>
      <c r="D267" s="374">
        <v>1602937</v>
      </c>
      <c r="E267" s="374"/>
      <c r="F267" s="374"/>
      <c r="G267" s="467">
        <f t="shared" ref="G267:G284" si="376">SUM(D267:F267)</f>
        <v>1602937</v>
      </c>
      <c r="H267" s="374">
        <v>126644</v>
      </c>
      <c r="I267" s="374"/>
      <c r="J267" s="374"/>
      <c r="K267" s="467">
        <f t="shared" ref="K267:K284" si="377">SUM(H267:J267)</f>
        <v>126644</v>
      </c>
      <c r="L267" s="467">
        <f t="shared" ref="L267:L284" si="378">K267*$F$259</f>
        <v>121660.30306071251</v>
      </c>
      <c r="M267" s="374">
        <v>98438.510000000009</v>
      </c>
      <c r="N267" s="374"/>
      <c r="O267" s="374"/>
      <c r="P267" s="467">
        <f t="shared" ref="P267:P284" si="379">SUM(M267:O267)</f>
        <v>98438.510000000009</v>
      </c>
      <c r="Q267" s="467">
        <f t="shared" ref="Q267:Q284" si="380">P267*$F$259</f>
        <v>94564.756004587514</v>
      </c>
      <c r="R267" s="374">
        <v>816513.00300000003</v>
      </c>
      <c r="S267" s="374"/>
      <c r="T267" s="374"/>
      <c r="U267" s="467">
        <f t="shared" ref="U267:U284" si="381">SUM(R267:T267)</f>
        <v>816513.00300000003</v>
      </c>
      <c r="V267" s="467">
        <f t="shared" ref="V267:V284" si="382">U267*$F$259</f>
        <v>784381.56879119796</v>
      </c>
      <c r="W267" s="374">
        <v>18448044</v>
      </c>
      <c r="X267" s="374"/>
      <c r="Y267" s="374"/>
      <c r="Z267" s="467">
        <f t="shared" ref="Z267:Z284" si="383">SUM(W267:Y267)</f>
        <v>18448044</v>
      </c>
      <c r="AA267" s="374">
        <v>2595674.333333333</v>
      </c>
      <c r="AB267" s="374"/>
      <c r="AC267" s="374"/>
      <c r="AD267" s="467">
        <f t="shared" ref="AD267:AD284" si="384">SUM(AA267:AC267)</f>
        <v>2595674.333333333</v>
      </c>
      <c r="AE267" s="374">
        <f t="shared" si="375"/>
        <v>23688250.846333332</v>
      </c>
      <c r="AF267" s="374" t="s">
        <v>571</v>
      </c>
      <c r="AG267" s="263" t="s">
        <v>571</v>
      </c>
      <c r="AH267" s="291">
        <f>AE267</f>
        <v>23688250.846333332</v>
      </c>
      <c r="AI267" s="291"/>
      <c r="AJ267" s="468">
        <f>SUM(AH267:AI267)</f>
        <v>23688250.846333332</v>
      </c>
      <c r="AK267" s="257" t="s">
        <v>409</v>
      </c>
      <c r="FA267"/>
      <c r="FB267"/>
      <c r="FC267"/>
      <c r="FD267"/>
      <c r="FE267"/>
      <c r="FF267"/>
      <c r="FG267"/>
      <c r="FH267"/>
      <c r="FI267"/>
      <c r="FJ267"/>
      <c r="FK267"/>
      <c r="FL267"/>
      <c r="FM267"/>
      <c r="FN267"/>
      <c r="FO267"/>
      <c r="FP267"/>
      <c r="FQ267"/>
      <c r="FR267"/>
      <c r="FS267"/>
      <c r="FT267"/>
      <c r="FU267"/>
    </row>
    <row r="268" spans="2:177">
      <c r="B268" s="219" t="s">
        <v>98</v>
      </c>
      <c r="C268" s="155">
        <v>181</v>
      </c>
      <c r="D268" s="378">
        <v>2522933.6477899998</v>
      </c>
      <c r="E268" s="268">
        <f t="shared" ref="E268:E284" si="385">D$266/COUNT($D$268:$D$284)</f>
        <v>11972240.042999342</v>
      </c>
      <c r="F268" s="378"/>
      <c r="G268" s="467">
        <f t="shared" si="376"/>
        <v>14495173.690789342</v>
      </c>
      <c r="H268" s="378">
        <v>2588429.7000000002</v>
      </c>
      <c r="I268" s="268">
        <f t="shared" ref="I268:I284" si="386">H$266/COUNT($D$268:$D$284)</f>
        <v>15855509.074619524</v>
      </c>
      <c r="J268" s="378"/>
      <c r="K268" s="467">
        <f t="shared" si="377"/>
        <v>18443938.774619523</v>
      </c>
      <c r="L268" s="467">
        <f t="shared" si="378"/>
        <v>17718132.568091959</v>
      </c>
      <c r="M268" s="378">
        <v>4110626</v>
      </c>
      <c r="N268" s="268">
        <f t="shared" ref="N268:N284" si="387">M$266/COUNT($D$268:$D$284)</f>
        <v>23103703.64864102</v>
      </c>
      <c r="O268" s="378"/>
      <c r="P268" s="467">
        <f t="shared" si="379"/>
        <v>27214329.64864102</v>
      </c>
      <c r="Q268" s="467">
        <f t="shared" si="380"/>
        <v>26143390.864532076</v>
      </c>
      <c r="R268" s="378">
        <v>4804940</v>
      </c>
      <c r="S268" s="268">
        <f t="shared" ref="S268:S284" si="388">R$266/COUNT($D$268:$D$284)</f>
        <v>31342011.960601177</v>
      </c>
      <c r="T268" s="378"/>
      <c r="U268" s="467">
        <f t="shared" si="381"/>
        <v>36146951.960601181</v>
      </c>
      <c r="V268" s="467">
        <f t="shared" si="382"/>
        <v>34724496.46448119</v>
      </c>
      <c r="W268" s="378">
        <v>28756497</v>
      </c>
      <c r="X268" s="268">
        <f t="shared" ref="X268:X284" si="389">W$266/COUNT($D$268:$D$284)</f>
        <v>56318357.584014714</v>
      </c>
      <c r="Y268" s="378"/>
      <c r="Z268" s="467">
        <f t="shared" si="383"/>
        <v>85074854.584014714</v>
      </c>
      <c r="AA268" s="378">
        <v>26354250</v>
      </c>
      <c r="AB268" s="268">
        <f t="shared" ref="AB268:AB284" si="390">AA$266/COUNT($D$268:$D$284)</f>
        <v>2790420.0651764702</v>
      </c>
      <c r="AC268" s="378"/>
      <c r="AD268" s="467">
        <f t="shared" si="384"/>
        <v>29144670.065176472</v>
      </c>
      <c r="AE268" s="378">
        <f t="shared" si="375"/>
        <v>69137676.347790003</v>
      </c>
      <c r="AF268" s="378">
        <v>4748372</v>
      </c>
      <c r="AG268" s="264">
        <v>14560.290631776534</v>
      </c>
      <c r="AH268" s="370">
        <v>34475882.985709406</v>
      </c>
      <c r="AI268" s="612">
        <f t="shared" ref="AI268:AI284" si="391">AE$266/COUNT($C$268:$C$284)</f>
        <v>141382242.37605223</v>
      </c>
      <c r="AJ268" s="466">
        <f t="shared" ref="AJ268:AJ284" si="392">AH268+AE268+AI268</f>
        <v>244995801.70955163</v>
      </c>
      <c r="AK268" s="219" t="s">
        <v>98</v>
      </c>
      <c r="FA268"/>
      <c r="FB268"/>
      <c r="FC268"/>
      <c r="FD268"/>
      <c r="FE268"/>
      <c r="FF268"/>
      <c r="FG268"/>
      <c r="FH268"/>
      <c r="FI268"/>
      <c r="FJ268"/>
      <c r="FK268"/>
      <c r="FL268"/>
      <c r="FM268"/>
      <c r="FN268"/>
      <c r="FO268"/>
      <c r="FP268"/>
      <c r="FQ268"/>
      <c r="FR268"/>
      <c r="FS268"/>
      <c r="FT268"/>
      <c r="FU268"/>
    </row>
    <row r="269" spans="2:177">
      <c r="B269" s="219" t="s">
        <v>92</v>
      </c>
      <c r="C269" s="155">
        <v>148</v>
      </c>
      <c r="D269" s="378">
        <v>2347104.86</v>
      </c>
      <c r="E269" s="268">
        <f t="shared" si="385"/>
        <v>11972240.042999342</v>
      </c>
      <c r="F269" s="378"/>
      <c r="G269" s="467">
        <f t="shared" si="376"/>
        <v>14319344.902999341</v>
      </c>
      <c r="H269" s="378">
        <v>3284879.8</v>
      </c>
      <c r="I269" s="268">
        <f t="shared" si="386"/>
        <v>15855509.074619524</v>
      </c>
      <c r="J269" s="378"/>
      <c r="K269" s="467">
        <f t="shared" si="377"/>
        <v>19140388.874619525</v>
      </c>
      <c r="L269" s="467">
        <f t="shared" si="378"/>
        <v>18387175.951376311</v>
      </c>
      <c r="M269" s="378">
        <v>3442702</v>
      </c>
      <c r="N269" s="268">
        <f t="shared" si="387"/>
        <v>23103703.64864102</v>
      </c>
      <c r="O269" s="378"/>
      <c r="P269" s="467">
        <f t="shared" si="379"/>
        <v>26546405.64864102</v>
      </c>
      <c r="Q269" s="467">
        <f t="shared" si="380"/>
        <v>25501751.021653429</v>
      </c>
      <c r="R269" s="378">
        <v>9353655.719349999</v>
      </c>
      <c r="S269" s="268">
        <f t="shared" si="388"/>
        <v>31342011.960601177</v>
      </c>
      <c r="T269" s="378"/>
      <c r="U269" s="467">
        <f t="shared" si="381"/>
        <v>40695667.679951176</v>
      </c>
      <c r="V269" s="467">
        <f t="shared" si="382"/>
        <v>39094211.041983068</v>
      </c>
      <c r="W269" s="378">
        <v>37029299</v>
      </c>
      <c r="X269" s="268">
        <f t="shared" si="389"/>
        <v>56318357.584014714</v>
      </c>
      <c r="Y269" s="378"/>
      <c r="Z269" s="467">
        <f t="shared" si="383"/>
        <v>93347656.584014714</v>
      </c>
      <c r="AA269" s="378">
        <v>0</v>
      </c>
      <c r="AB269" s="268">
        <f t="shared" si="390"/>
        <v>2790420.0651764702</v>
      </c>
      <c r="AC269" s="378"/>
      <c r="AD269" s="467">
        <f t="shared" si="384"/>
        <v>2790420.0651764702</v>
      </c>
      <c r="AE269" s="378">
        <f t="shared" si="375"/>
        <v>55457641.379349992</v>
      </c>
      <c r="AF269" s="378">
        <v>3229163</v>
      </c>
      <c r="AG269" s="264">
        <v>11957.407761500424</v>
      </c>
      <c r="AH269" s="370">
        <v>15201312.765868133</v>
      </c>
      <c r="AI269" s="612">
        <f t="shared" si="391"/>
        <v>141382242.37605223</v>
      </c>
      <c r="AJ269" s="466">
        <f t="shared" si="392"/>
        <v>212041196.52127033</v>
      </c>
      <c r="AK269" s="219" t="s">
        <v>92</v>
      </c>
      <c r="FA269"/>
      <c r="FB269"/>
      <c r="FC269"/>
      <c r="FD269"/>
      <c r="FE269"/>
      <c r="FF269"/>
      <c r="FG269"/>
      <c r="FH269"/>
      <c r="FI269"/>
      <c r="FJ269"/>
      <c r="FK269"/>
      <c r="FL269"/>
      <c r="FM269"/>
      <c r="FN269"/>
      <c r="FO269"/>
      <c r="FP269"/>
      <c r="FQ269"/>
      <c r="FR269"/>
      <c r="FS269"/>
      <c r="FT269"/>
      <c r="FU269"/>
    </row>
    <row r="270" spans="2:177">
      <c r="B270" s="219" t="s">
        <v>97</v>
      </c>
      <c r="C270" s="155">
        <v>269</v>
      </c>
      <c r="D270" s="378">
        <v>6307894.7986599999</v>
      </c>
      <c r="E270" s="268">
        <f t="shared" si="385"/>
        <v>11972240.042999342</v>
      </c>
      <c r="F270" s="378"/>
      <c r="G270" s="467">
        <f t="shared" si="376"/>
        <v>18280134.841659341</v>
      </c>
      <c r="H270" s="378">
        <v>61201322.699039958</v>
      </c>
      <c r="I270" s="268">
        <f t="shared" si="386"/>
        <v>15855509.074619524</v>
      </c>
      <c r="J270" s="378"/>
      <c r="K270" s="467">
        <f t="shared" si="377"/>
        <v>77056831.773659483</v>
      </c>
      <c r="L270" s="467">
        <f t="shared" si="378"/>
        <v>74024489.959901407</v>
      </c>
      <c r="M270" s="378">
        <v>89430958.592999995</v>
      </c>
      <c r="N270" s="268">
        <f t="shared" si="387"/>
        <v>23103703.64864102</v>
      </c>
      <c r="O270" s="378"/>
      <c r="P270" s="467">
        <f t="shared" si="379"/>
        <v>112534662.24164101</v>
      </c>
      <c r="Q270" s="467">
        <f t="shared" si="380"/>
        <v>108106196.21263516</v>
      </c>
      <c r="R270" s="378">
        <v>179516760.4208</v>
      </c>
      <c r="S270" s="268">
        <f t="shared" si="388"/>
        <v>31342011.960601177</v>
      </c>
      <c r="T270" s="378"/>
      <c r="U270" s="467">
        <f t="shared" si="381"/>
        <v>210858772.38140118</v>
      </c>
      <c r="V270" s="467">
        <f t="shared" si="382"/>
        <v>202561054.22231662</v>
      </c>
      <c r="W270" s="378">
        <v>433920911.39999998</v>
      </c>
      <c r="X270" s="268">
        <f t="shared" si="389"/>
        <v>56318357.584014714</v>
      </c>
      <c r="Y270" s="378"/>
      <c r="Z270" s="467">
        <f t="shared" si="383"/>
        <v>490239268.98401469</v>
      </c>
      <c r="AA270" s="378">
        <v>202845670.95999998</v>
      </c>
      <c r="AB270" s="268">
        <f t="shared" si="390"/>
        <v>2790420.0651764702</v>
      </c>
      <c r="AC270" s="378"/>
      <c r="AD270" s="467">
        <f t="shared" si="384"/>
        <v>205636091.02517644</v>
      </c>
      <c r="AE270" s="378">
        <f t="shared" si="375"/>
        <v>973223518.87149978</v>
      </c>
      <c r="AF270" s="378">
        <v>10137737</v>
      </c>
      <c r="AG270" s="264">
        <v>95886.144893233984</v>
      </c>
      <c r="AH270" s="370">
        <v>245790578.12404263</v>
      </c>
      <c r="AI270" s="612">
        <f t="shared" si="391"/>
        <v>141382242.37605223</v>
      </c>
      <c r="AJ270" s="466">
        <f t="shared" si="392"/>
        <v>1360396339.3715947</v>
      </c>
      <c r="AK270" s="219" t="s">
        <v>97</v>
      </c>
      <c r="FA270"/>
      <c r="FB270"/>
      <c r="FC270"/>
      <c r="FD270"/>
      <c r="FE270"/>
      <c r="FF270"/>
      <c r="FG270"/>
      <c r="FH270"/>
      <c r="FI270"/>
      <c r="FJ270"/>
      <c r="FK270"/>
      <c r="FL270"/>
      <c r="FM270"/>
      <c r="FN270"/>
      <c r="FO270"/>
      <c r="FP270"/>
      <c r="FQ270"/>
      <c r="FR270"/>
      <c r="FS270"/>
      <c r="FT270"/>
      <c r="FU270"/>
    </row>
    <row r="271" spans="2:177">
      <c r="B271" s="219" t="s">
        <v>112</v>
      </c>
      <c r="C271" s="155">
        <v>204</v>
      </c>
      <c r="D271" s="378">
        <v>6868644.8499999996</v>
      </c>
      <c r="E271" s="268">
        <f t="shared" si="385"/>
        <v>11972240.042999342</v>
      </c>
      <c r="F271" s="378"/>
      <c r="G271" s="467">
        <f t="shared" si="376"/>
        <v>18840884.892999344</v>
      </c>
      <c r="H271" s="378">
        <v>51899293.993333332</v>
      </c>
      <c r="I271" s="268">
        <f t="shared" si="386"/>
        <v>15855509.074619524</v>
      </c>
      <c r="J271" s="378"/>
      <c r="K271" s="467">
        <f t="shared" si="377"/>
        <v>67754803.067952856</v>
      </c>
      <c r="L271" s="467">
        <f t="shared" si="378"/>
        <v>65088514.853179291</v>
      </c>
      <c r="M271" s="378">
        <v>41822755.434</v>
      </c>
      <c r="N271" s="268">
        <f t="shared" si="387"/>
        <v>23103703.64864102</v>
      </c>
      <c r="O271" s="378"/>
      <c r="P271" s="467">
        <f t="shared" si="379"/>
        <v>64926459.08264102</v>
      </c>
      <c r="Q271" s="467">
        <f t="shared" si="380"/>
        <v>62371471.910655513</v>
      </c>
      <c r="R271" s="378">
        <v>27418021.609999999</v>
      </c>
      <c r="S271" s="268">
        <f t="shared" si="388"/>
        <v>31342011.960601177</v>
      </c>
      <c r="T271" s="378"/>
      <c r="U271" s="467">
        <f t="shared" si="381"/>
        <v>58760033.57060118</v>
      </c>
      <c r="V271" s="467">
        <f t="shared" si="382"/>
        <v>56447707.684982948</v>
      </c>
      <c r="W271" s="378">
        <v>76746450.219999999</v>
      </c>
      <c r="X271" s="268">
        <f t="shared" si="389"/>
        <v>56318357.584014714</v>
      </c>
      <c r="Y271" s="378"/>
      <c r="Z271" s="467">
        <f t="shared" si="383"/>
        <v>133064807.80401471</v>
      </c>
      <c r="AA271" s="378">
        <v>115358000</v>
      </c>
      <c r="AB271" s="268">
        <f t="shared" si="390"/>
        <v>2790420.0651764702</v>
      </c>
      <c r="AC271" s="378"/>
      <c r="AD271" s="467">
        <f t="shared" si="384"/>
        <v>118148420.06517647</v>
      </c>
      <c r="AE271" s="378">
        <f t="shared" si="375"/>
        <v>320113166.10733336</v>
      </c>
      <c r="AF271" s="378">
        <v>12609803</v>
      </c>
      <c r="AG271" s="264">
        <v>25373.851289138569</v>
      </c>
      <c r="AH271" s="370">
        <v>241534994.68652052</v>
      </c>
      <c r="AI271" s="612">
        <f t="shared" si="391"/>
        <v>141382242.37605223</v>
      </c>
      <c r="AJ271" s="466">
        <f t="shared" si="392"/>
        <v>703030403.16990614</v>
      </c>
      <c r="AK271" s="219" t="s">
        <v>112</v>
      </c>
      <c r="FA271"/>
      <c r="FB271"/>
      <c r="FC271"/>
      <c r="FD271"/>
      <c r="FE271"/>
      <c r="FF271"/>
      <c r="FG271"/>
      <c r="FH271"/>
      <c r="FI271"/>
      <c r="FJ271"/>
      <c r="FK271"/>
      <c r="FL271"/>
      <c r="FM271"/>
      <c r="FN271"/>
      <c r="FO271"/>
      <c r="FP271"/>
      <c r="FQ271"/>
      <c r="FR271"/>
      <c r="FS271"/>
      <c r="FT271"/>
      <c r="FU271"/>
    </row>
    <row r="272" spans="2:177">
      <c r="B272" s="219" t="s">
        <v>93</v>
      </c>
      <c r="C272" s="155">
        <v>159</v>
      </c>
      <c r="D272" s="378">
        <v>974292</v>
      </c>
      <c r="E272" s="268">
        <f t="shared" si="385"/>
        <v>11972240.042999342</v>
      </c>
      <c r="F272" s="378"/>
      <c r="G272" s="467">
        <f t="shared" si="376"/>
        <v>12946532.042999342</v>
      </c>
      <c r="H272" s="378">
        <v>3652814</v>
      </c>
      <c r="I272" s="268">
        <f t="shared" si="386"/>
        <v>15855509.074619524</v>
      </c>
      <c r="J272" s="378"/>
      <c r="K272" s="467">
        <f t="shared" si="377"/>
        <v>19508323.074619524</v>
      </c>
      <c r="L272" s="467">
        <f t="shared" si="378"/>
        <v>18740631.198197328</v>
      </c>
      <c r="M272" s="378">
        <v>7361197.4633714287</v>
      </c>
      <c r="N272" s="268">
        <f t="shared" si="387"/>
        <v>23103703.64864102</v>
      </c>
      <c r="O272" s="378"/>
      <c r="P272" s="467">
        <f t="shared" si="379"/>
        <v>30464901.11201245</v>
      </c>
      <c r="Q272" s="467">
        <f t="shared" si="380"/>
        <v>29266045.781893119</v>
      </c>
      <c r="R272" s="378">
        <v>5884463.280228571</v>
      </c>
      <c r="S272" s="268">
        <f t="shared" si="388"/>
        <v>31342011.960601177</v>
      </c>
      <c r="T272" s="378"/>
      <c r="U272" s="467">
        <f t="shared" si="381"/>
        <v>37226475.240829751</v>
      </c>
      <c r="V272" s="467">
        <f t="shared" si="382"/>
        <v>35761538.325396061</v>
      </c>
      <c r="W272" s="378">
        <v>15369454.8654</v>
      </c>
      <c r="X272" s="268">
        <f t="shared" si="389"/>
        <v>56318357.584014714</v>
      </c>
      <c r="Y272" s="378"/>
      <c r="Z272" s="467">
        <f t="shared" si="383"/>
        <v>71687812.449414715</v>
      </c>
      <c r="AA272" s="378">
        <v>293000</v>
      </c>
      <c r="AB272" s="268">
        <f t="shared" si="390"/>
        <v>2790420.0651764702</v>
      </c>
      <c r="AC272" s="378"/>
      <c r="AD272" s="467">
        <f t="shared" si="384"/>
        <v>3083420.0651764702</v>
      </c>
      <c r="AE272" s="378">
        <f t="shared" si="375"/>
        <v>33535221.609000001</v>
      </c>
      <c r="AF272" s="378">
        <v>2744671</v>
      </c>
      <c r="AG272" s="264">
        <v>12218.302889125873</v>
      </c>
      <c r="AH272" s="370">
        <v>13585161.069817293</v>
      </c>
      <c r="AI272" s="612">
        <f t="shared" si="391"/>
        <v>141382242.37605223</v>
      </c>
      <c r="AJ272" s="466">
        <f t="shared" si="392"/>
        <v>188502625.05486953</v>
      </c>
      <c r="AK272" s="219" t="s">
        <v>93</v>
      </c>
      <c r="FA272"/>
      <c r="FB272"/>
      <c r="FC272"/>
      <c r="FD272"/>
      <c r="FE272"/>
      <c r="FF272"/>
      <c r="FG272"/>
      <c r="FH272"/>
      <c r="FI272"/>
      <c r="FJ272"/>
      <c r="FK272"/>
      <c r="FL272"/>
      <c r="FM272"/>
      <c r="FN272"/>
      <c r="FO272"/>
      <c r="FP272"/>
      <c r="FQ272"/>
      <c r="FR272"/>
      <c r="FS272"/>
      <c r="FT272"/>
      <c r="FU272"/>
    </row>
    <row r="273" spans="2:177">
      <c r="B273" s="219" t="s">
        <v>95</v>
      </c>
      <c r="C273" s="155">
        <v>133</v>
      </c>
      <c r="D273" s="378">
        <v>1419446</v>
      </c>
      <c r="E273" s="268">
        <f t="shared" si="385"/>
        <v>11972240.042999342</v>
      </c>
      <c r="F273" s="378"/>
      <c r="G273" s="467">
        <f t="shared" si="376"/>
        <v>13391686.042999342</v>
      </c>
      <c r="H273" s="378">
        <v>2724819</v>
      </c>
      <c r="I273" s="268">
        <f t="shared" si="386"/>
        <v>15855509.074619524</v>
      </c>
      <c r="J273" s="378"/>
      <c r="K273" s="467">
        <f t="shared" si="377"/>
        <v>18580328.074619524</v>
      </c>
      <c r="L273" s="467">
        <f t="shared" si="378"/>
        <v>17849154.673933834</v>
      </c>
      <c r="M273" s="378">
        <v>5730984</v>
      </c>
      <c r="N273" s="268">
        <f t="shared" si="387"/>
        <v>23103703.64864102</v>
      </c>
      <c r="O273" s="378"/>
      <c r="P273" s="467">
        <f t="shared" si="379"/>
        <v>28834687.64864102</v>
      </c>
      <c r="Q273" s="467">
        <f t="shared" si="380"/>
        <v>27699984.507711779</v>
      </c>
      <c r="R273" s="378">
        <v>4745433.2680500001</v>
      </c>
      <c r="S273" s="268">
        <f t="shared" si="388"/>
        <v>31342011.960601177</v>
      </c>
      <c r="T273" s="378"/>
      <c r="U273" s="467">
        <f t="shared" si="381"/>
        <v>36087445.228651181</v>
      </c>
      <c r="V273" s="467">
        <f t="shared" si="382"/>
        <v>34667331.442504711</v>
      </c>
      <c r="W273" s="378">
        <v>13339721</v>
      </c>
      <c r="X273" s="268">
        <f t="shared" si="389"/>
        <v>56318357.584014714</v>
      </c>
      <c r="Y273" s="378"/>
      <c r="Z273" s="467">
        <f t="shared" si="383"/>
        <v>69658078.584014714</v>
      </c>
      <c r="AA273" s="378">
        <v>9000000</v>
      </c>
      <c r="AB273" s="268">
        <f t="shared" si="390"/>
        <v>2790420.0651764702</v>
      </c>
      <c r="AC273" s="378"/>
      <c r="AD273" s="467">
        <f t="shared" si="384"/>
        <v>11790420.06517647</v>
      </c>
      <c r="AE273" s="378">
        <f t="shared" si="375"/>
        <v>36960403.26805</v>
      </c>
      <c r="AF273" s="378">
        <v>5420411</v>
      </c>
      <c r="AG273" s="264">
        <v>6818.7455283464669</v>
      </c>
      <c r="AH273" s="370">
        <v>19352828.180928402</v>
      </c>
      <c r="AI273" s="612">
        <f t="shared" si="391"/>
        <v>141382242.37605223</v>
      </c>
      <c r="AJ273" s="466">
        <f t="shared" si="392"/>
        <v>197695473.82503062</v>
      </c>
      <c r="AK273" s="219" t="s">
        <v>95</v>
      </c>
      <c r="FA273"/>
      <c r="FB273"/>
      <c r="FC273"/>
      <c r="FD273"/>
      <c r="FE273"/>
      <c r="FF273"/>
      <c r="FG273"/>
      <c r="FH273"/>
      <c r="FI273"/>
      <c r="FJ273"/>
      <c r="FK273"/>
      <c r="FL273"/>
      <c r="FM273"/>
      <c r="FN273"/>
      <c r="FO273"/>
      <c r="FP273"/>
      <c r="FQ273"/>
      <c r="FR273"/>
      <c r="FS273"/>
      <c r="FT273"/>
      <c r="FU273"/>
    </row>
    <row r="274" spans="2:177">
      <c r="B274" s="219" t="s">
        <v>88</v>
      </c>
      <c r="C274" s="155">
        <v>292</v>
      </c>
      <c r="D274" s="378">
        <v>5207282.5592800006</v>
      </c>
      <c r="E274" s="268">
        <f t="shared" si="385"/>
        <v>11972240.042999342</v>
      </c>
      <c r="F274" s="378"/>
      <c r="G274" s="467">
        <f t="shared" si="376"/>
        <v>17179522.602279343</v>
      </c>
      <c r="H274" s="378">
        <v>16184754.539700001</v>
      </c>
      <c r="I274" s="268">
        <f t="shared" si="386"/>
        <v>15855509.074619524</v>
      </c>
      <c r="J274" s="378"/>
      <c r="K274" s="467">
        <f t="shared" si="377"/>
        <v>32040263.614319526</v>
      </c>
      <c r="L274" s="467">
        <f t="shared" si="378"/>
        <v>30779414.591004971</v>
      </c>
      <c r="M274" s="378">
        <v>7733880.0446199998</v>
      </c>
      <c r="N274" s="268">
        <f t="shared" si="387"/>
        <v>23103703.64864102</v>
      </c>
      <c r="O274" s="378"/>
      <c r="P274" s="467">
        <f t="shared" si="379"/>
        <v>30837583.69326102</v>
      </c>
      <c r="Q274" s="467">
        <f t="shared" si="380"/>
        <v>29624062.551579405</v>
      </c>
      <c r="R274" s="378">
        <v>33737366</v>
      </c>
      <c r="S274" s="268">
        <f t="shared" si="388"/>
        <v>31342011.960601177</v>
      </c>
      <c r="T274" s="378"/>
      <c r="U274" s="467">
        <f t="shared" si="381"/>
        <v>65079377.960601181</v>
      </c>
      <c r="V274" s="467">
        <f t="shared" si="382"/>
        <v>62518373.122211821</v>
      </c>
      <c r="W274" s="378">
        <v>72540542</v>
      </c>
      <c r="X274" s="268">
        <f t="shared" si="389"/>
        <v>56318357.584014714</v>
      </c>
      <c r="Y274" s="378"/>
      <c r="Z274" s="467">
        <f t="shared" si="383"/>
        <v>128858899.58401471</v>
      </c>
      <c r="AA274" s="378">
        <v>171271989</v>
      </c>
      <c r="AB274" s="268">
        <f t="shared" si="390"/>
        <v>2790420.0651764702</v>
      </c>
      <c r="AC274" s="378"/>
      <c r="AD274" s="467">
        <f t="shared" si="384"/>
        <v>174062409.06517646</v>
      </c>
      <c r="AE274" s="378">
        <f t="shared" si="375"/>
        <v>306675814.14359993</v>
      </c>
      <c r="AF274" s="378">
        <v>7102438</v>
      </c>
      <c r="AG274" s="264">
        <v>43178.949839984518</v>
      </c>
      <c r="AH274" s="370">
        <v>18218899.131182369</v>
      </c>
      <c r="AI274" s="612">
        <f t="shared" si="391"/>
        <v>141382242.37605223</v>
      </c>
      <c r="AJ274" s="466">
        <f t="shared" si="392"/>
        <v>466276955.65083456</v>
      </c>
      <c r="AK274" s="219" t="s">
        <v>88</v>
      </c>
      <c r="FA274"/>
      <c r="FB274"/>
      <c r="FC274"/>
      <c r="FD274"/>
      <c r="FE274"/>
      <c r="FF274"/>
      <c r="FG274"/>
      <c r="FH274"/>
      <c r="FI274"/>
      <c r="FJ274"/>
      <c r="FK274"/>
      <c r="FL274"/>
      <c r="FM274"/>
      <c r="FN274"/>
      <c r="FO274"/>
      <c r="FP274"/>
      <c r="FQ274"/>
      <c r="FR274"/>
      <c r="FS274"/>
      <c r="FT274"/>
      <c r="FU274"/>
    </row>
    <row r="275" spans="2:177">
      <c r="B275" s="219" t="s">
        <v>99</v>
      </c>
      <c r="C275" s="155">
        <v>129</v>
      </c>
      <c r="D275" s="378">
        <v>4507982.4499999993</v>
      </c>
      <c r="E275" s="268">
        <f t="shared" si="385"/>
        <v>11972240.042999342</v>
      </c>
      <c r="F275" s="378"/>
      <c r="G275" s="467">
        <f t="shared" si="376"/>
        <v>16480222.492999341</v>
      </c>
      <c r="H275" s="378">
        <v>12212033.939999999</v>
      </c>
      <c r="I275" s="268">
        <f t="shared" si="386"/>
        <v>15855509.074619524</v>
      </c>
      <c r="J275" s="378"/>
      <c r="K275" s="467">
        <f t="shared" si="377"/>
        <v>28067543.014619522</v>
      </c>
      <c r="L275" s="467">
        <f t="shared" si="378"/>
        <v>26963028.562965441</v>
      </c>
      <c r="M275" s="378">
        <v>6200577.7990000006</v>
      </c>
      <c r="N275" s="268">
        <f t="shared" si="387"/>
        <v>23103703.64864102</v>
      </c>
      <c r="O275" s="378"/>
      <c r="P275" s="467">
        <f t="shared" si="379"/>
        <v>29304281.447641023</v>
      </c>
      <c r="Q275" s="467">
        <f t="shared" si="380"/>
        <v>28151098.843185797</v>
      </c>
      <c r="R275" s="378">
        <v>5249881.780621429</v>
      </c>
      <c r="S275" s="268">
        <f t="shared" si="388"/>
        <v>31342011.960601177</v>
      </c>
      <c r="T275" s="378"/>
      <c r="U275" s="467">
        <f t="shared" si="381"/>
        <v>36591893.741222605</v>
      </c>
      <c r="V275" s="467">
        <f t="shared" si="382"/>
        <v>35151928.888242096</v>
      </c>
      <c r="W275" s="378">
        <v>22110683.683428571</v>
      </c>
      <c r="X275" s="268">
        <f t="shared" si="389"/>
        <v>56318357.584014714</v>
      </c>
      <c r="Y275" s="378"/>
      <c r="Z275" s="467">
        <f t="shared" si="383"/>
        <v>78429041.267443284</v>
      </c>
      <c r="AA275" s="378">
        <v>73884759</v>
      </c>
      <c r="AB275" s="268">
        <f t="shared" si="390"/>
        <v>2790420.0651764702</v>
      </c>
      <c r="AC275" s="378"/>
      <c r="AD275" s="467">
        <f t="shared" si="384"/>
        <v>76675179.065176472</v>
      </c>
      <c r="AE275" s="378">
        <f t="shared" si="375"/>
        <v>124165918.65304999</v>
      </c>
      <c r="AF275" s="378">
        <v>6800180</v>
      </c>
      <c r="AG275" s="264">
        <v>18259.210587521215</v>
      </c>
      <c r="AH275" s="370">
        <v>16516216.067293484</v>
      </c>
      <c r="AI275" s="612">
        <f t="shared" si="391"/>
        <v>141382242.37605223</v>
      </c>
      <c r="AJ275" s="466">
        <f t="shared" si="392"/>
        <v>282064377.09639573</v>
      </c>
      <c r="AK275" s="219" t="s">
        <v>99</v>
      </c>
      <c r="FA275"/>
      <c r="FB275"/>
      <c r="FC275"/>
      <c r="FD275"/>
      <c r="FE275"/>
      <c r="FF275"/>
      <c r="FG275"/>
      <c r="FH275"/>
      <c r="FI275"/>
      <c r="FJ275"/>
      <c r="FK275"/>
      <c r="FL275"/>
      <c r="FM275"/>
      <c r="FN275"/>
      <c r="FO275"/>
      <c r="FP275"/>
      <c r="FQ275"/>
      <c r="FR275"/>
      <c r="FS275"/>
      <c r="FT275"/>
      <c r="FU275"/>
    </row>
    <row r="276" spans="2:177">
      <c r="B276" s="219" t="s">
        <v>87</v>
      </c>
      <c r="C276" s="155">
        <v>184</v>
      </c>
      <c r="D276" s="378">
        <v>4145650.86</v>
      </c>
      <c r="E276" s="268">
        <f t="shared" si="385"/>
        <v>11972240.042999342</v>
      </c>
      <c r="F276" s="378"/>
      <c r="G276" s="467">
        <f t="shared" si="376"/>
        <v>16117890.902999341</v>
      </c>
      <c r="H276" s="378">
        <v>3840791.4325000001</v>
      </c>
      <c r="I276" s="268">
        <f t="shared" si="386"/>
        <v>15855509.074619524</v>
      </c>
      <c r="J276" s="378"/>
      <c r="K276" s="467">
        <f t="shared" si="377"/>
        <v>19696300.507119525</v>
      </c>
      <c r="L276" s="467">
        <f t="shared" si="378"/>
        <v>18921211.339432005</v>
      </c>
      <c r="M276" s="378">
        <v>3760000.247</v>
      </c>
      <c r="N276" s="268">
        <f t="shared" si="387"/>
        <v>23103703.64864102</v>
      </c>
      <c r="O276" s="378"/>
      <c r="P276" s="467">
        <f t="shared" si="379"/>
        <v>26863703.895641021</v>
      </c>
      <c r="Q276" s="467">
        <f t="shared" si="380"/>
        <v>25806562.942397036</v>
      </c>
      <c r="R276" s="378">
        <v>7492559.2680500001</v>
      </c>
      <c r="S276" s="268">
        <f t="shared" si="388"/>
        <v>31342011.960601177</v>
      </c>
      <c r="T276" s="378"/>
      <c r="U276" s="467">
        <f t="shared" si="381"/>
        <v>38834571.228651181</v>
      </c>
      <c r="V276" s="467">
        <f t="shared" si="382"/>
        <v>37306352.491318412</v>
      </c>
      <c r="W276" s="378">
        <v>13190250</v>
      </c>
      <c r="X276" s="268">
        <f t="shared" si="389"/>
        <v>56318357.584014714</v>
      </c>
      <c r="Y276" s="378"/>
      <c r="Z276" s="467">
        <f t="shared" si="383"/>
        <v>69508607.584014714</v>
      </c>
      <c r="AA276" s="378">
        <v>43384745</v>
      </c>
      <c r="AB276" s="268">
        <f t="shared" si="390"/>
        <v>2790420.0651764702</v>
      </c>
      <c r="AC276" s="378"/>
      <c r="AD276" s="467">
        <f t="shared" si="384"/>
        <v>46175165.065176472</v>
      </c>
      <c r="AE276" s="378">
        <f t="shared" si="375"/>
        <v>75813996.807549998</v>
      </c>
      <c r="AF276" s="378">
        <v>4101322</v>
      </c>
      <c r="AG276" s="264">
        <v>18485.258364876008</v>
      </c>
      <c r="AH276" s="370">
        <v>15846140.050626816</v>
      </c>
      <c r="AI276" s="612">
        <f t="shared" si="391"/>
        <v>141382242.37605223</v>
      </c>
      <c r="AJ276" s="466">
        <f t="shared" si="392"/>
        <v>233042379.23422903</v>
      </c>
      <c r="AK276" s="219" t="s">
        <v>87</v>
      </c>
      <c r="FA276"/>
      <c r="FB276"/>
      <c r="FC276"/>
      <c r="FD276"/>
      <c r="FE276"/>
      <c r="FF276"/>
      <c r="FG276"/>
      <c r="FH276"/>
      <c r="FI276"/>
      <c r="FJ276"/>
      <c r="FK276"/>
      <c r="FL276"/>
      <c r="FM276"/>
      <c r="FN276"/>
      <c r="FO276"/>
      <c r="FP276"/>
      <c r="FQ276"/>
      <c r="FR276"/>
      <c r="FS276"/>
      <c r="FT276"/>
      <c r="FU276"/>
    </row>
    <row r="277" spans="2:177">
      <c r="B277" s="219" t="s">
        <v>89</v>
      </c>
      <c r="C277" s="155">
        <v>125</v>
      </c>
      <c r="D277" s="378">
        <v>1201642</v>
      </c>
      <c r="E277" s="268">
        <f t="shared" si="385"/>
        <v>11972240.042999342</v>
      </c>
      <c r="F277" s="378"/>
      <c r="G277" s="467">
        <f t="shared" si="376"/>
        <v>13173882.042999342</v>
      </c>
      <c r="H277" s="378">
        <v>1712283</v>
      </c>
      <c r="I277" s="268">
        <f t="shared" si="386"/>
        <v>15855509.074619524</v>
      </c>
      <c r="J277" s="378"/>
      <c r="K277" s="467">
        <f t="shared" si="377"/>
        <v>17567792.074619524</v>
      </c>
      <c r="L277" s="467">
        <f t="shared" si="378"/>
        <v>16876464.008605182</v>
      </c>
      <c r="M277" s="378">
        <v>2102709</v>
      </c>
      <c r="N277" s="268">
        <f t="shared" si="387"/>
        <v>23103703.64864102</v>
      </c>
      <c r="O277" s="378"/>
      <c r="P277" s="467">
        <f t="shared" si="379"/>
        <v>25206412.64864102</v>
      </c>
      <c r="Q277" s="467">
        <f t="shared" si="380"/>
        <v>24214489.450009819</v>
      </c>
      <c r="R277" s="378">
        <v>3256933.5780500001</v>
      </c>
      <c r="S277" s="268">
        <f t="shared" si="388"/>
        <v>31342011.960601177</v>
      </c>
      <c r="T277" s="378"/>
      <c r="U277" s="467">
        <f t="shared" si="381"/>
        <v>34598945.538651176</v>
      </c>
      <c r="V277" s="467">
        <f t="shared" si="382"/>
        <v>33237407.218765903</v>
      </c>
      <c r="W277" s="378">
        <v>14152670</v>
      </c>
      <c r="X277" s="268">
        <f t="shared" si="389"/>
        <v>56318357.584014714</v>
      </c>
      <c r="Y277" s="378"/>
      <c r="Z277" s="467">
        <f t="shared" si="383"/>
        <v>70471027.584014714</v>
      </c>
      <c r="AA277" s="378">
        <v>13859000</v>
      </c>
      <c r="AB277" s="268">
        <f t="shared" si="390"/>
        <v>2790420.0651764702</v>
      </c>
      <c r="AC277" s="378"/>
      <c r="AD277" s="467">
        <f t="shared" si="384"/>
        <v>16649420.06517647</v>
      </c>
      <c r="AE277" s="378">
        <f t="shared" si="375"/>
        <v>36285237.578050002</v>
      </c>
      <c r="AF277" s="378">
        <v>3407353</v>
      </c>
      <c r="AG277" s="264">
        <v>10459.214991241002</v>
      </c>
      <c r="AH277" s="370">
        <v>12639181.519356977</v>
      </c>
      <c r="AI277" s="612">
        <f t="shared" si="391"/>
        <v>141382242.37605223</v>
      </c>
      <c r="AJ277" s="466">
        <f t="shared" si="392"/>
        <v>190306661.47345921</v>
      </c>
      <c r="AK277" s="219" t="s">
        <v>89</v>
      </c>
      <c r="FA277"/>
      <c r="FB277"/>
      <c r="FC277"/>
      <c r="FD277"/>
      <c r="FE277"/>
      <c r="FF277"/>
      <c r="FG277"/>
      <c r="FH277"/>
      <c r="FI277"/>
      <c r="FJ277"/>
      <c r="FK277"/>
      <c r="FL277"/>
      <c r="FM277"/>
      <c r="FN277"/>
      <c r="FO277"/>
      <c r="FP277"/>
      <c r="FQ277"/>
      <c r="FR277"/>
      <c r="FS277"/>
      <c r="FT277"/>
      <c r="FU277"/>
    </row>
    <row r="278" spans="2:177">
      <c r="B278" s="219" t="s">
        <v>91</v>
      </c>
      <c r="C278" s="155">
        <v>144</v>
      </c>
      <c r="D278" s="378">
        <v>1630305</v>
      </c>
      <c r="E278" s="268">
        <f t="shared" si="385"/>
        <v>11972240.042999342</v>
      </c>
      <c r="F278" s="378"/>
      <c r="G278" s="467">
        <f t="shared" si="376"/>
        <v>13602545.042999342</v>
      </c>
      <c r="H278" s="378">
        <v>2755078.11314</v>
      </c>
      <c r="I278" s="268">
        <f t="shared" si="386"/>
        <v>15855509.074619524</v>
      </c>
      <c r="J278" s="378"/>
      <c r="K278" s="467">
        <f t="shared" si="377"/>
        <v>18610587.187759526</v>
      </c>
      <c r="L278" s="467">
        <f t="shared" si="378"/>
        <v>17878223.029915649</v>
      </c>
      <c r="M278" s="378">
        <v>7554489.9891400002</v>
      </c>
      <c r="N278" s="268">
        <f t="shared" si="387"/>
        <v>23103703.64864102</v>
      </c>
      <c r="O278" s="378"/>
      <c r="P278" s="467">
        <f t="shared" si="379"/>
        <v>30658193.63778102</v>
      </c>
      <c r="Q278" s="467">
        <f t="shared" si="380"/>
        <v>29451731.85675158</v>
      </c>
      <c r="R278" s="378">
        <v>7679354.728605561</v>
      </c>
      <c r="S278" s="268">
        <f t="shared" si="388"/>
        <v>31342011.960601177</v>
      </c>
      <c r="T278" s="378"/>
      <c r="U278" s="467">
        <f t="shared" si="381"/>
        <v>39021366.689206734</v>
      </c>
      <c r="V278" s="467">
        <f t="shared" si="382"/>
        <v>37485797.173589617</v>
      </c>
      <c r="W278" s="378">
        <v>36862745.658662073</v>
      </c>
      <c r="X278" s="268">
        <f t="shared" si="389"/>
        <v>56318357.584014714</v>
      </c>
      <c r="Y278" s="378"/>
      <c r="Z278" s="467">
        <f t="shared" si="383"/>
        <v>93181103.242676795</v>
      </c>
      <c r="AA278" s="378">
        <v>87451000</v>
      </c>
      <c r="AB278" s="268">
        <f t="shared" si="390"/>
        <v>2790420.0651764702</v>
      </c>
      <c r="AC278" s="378"/>
      <c r="AD278" s="467">
        <f t="shared" si="384"/>
        <v>90241420.065176472</v>
      </c>
      <c r="AE278" s="378">
        <f t="shared" si="375"/>
        <v>143932973.48954764</v>
      </c>
      <c r="AF278" s="378">
        <v>4297323</v>
      </c>
      <c r="AG278" s="264">
        <v>33123.638481340044</v>
      </c>
      <c r="AH278" s="370">
        <v>33169991.158245862</v>
      </c>
      <c r="AI278" s="612">
        <f t="shared" si="391"/>
        <v>141382242.37605223</v>
      </c>
      <c r="AJ278" s="466">
        <f t="shared" si="392"/>
        <v>318485207.02384573</v>
      </c>
      <c r="AK278" s="219" t="s">
        <v>91</v>
      </c>
      <c r="FA278"/>
      <c r="FB278"/>
      <c r="FC278"/>
      <c r="FD278"/>
      <c r="FE278"/>
      <c r="FF278"/>
      <c r="FG278"/>
      <c r="FH278"/>
      <c r="FI278"/>
      <c r="FJ278"/>
      <c r="FK278"/>
      <c r="FL278"/>
      <c r="FM278"/>
      <c r="FN278"/>
      <c r="FO278"/>
      <c r="FP278"/>
      <c r="FQ278"/>
      <c r="FR278"/>
      <c r="FS278"/>
      <c r="FT278"/>
      <c r="FU278"/>
    </row>
    <row r="279" spans="2:177">
      <c r="B279" s="219" t="s">
        <v>100</v>
      </c>
      <c r="C279" s="155">
        <v>99</v>
      </c>
      <c r="D279" s="378">
        <v>1367931</v>
      </c>
      <c r="E279" s="268">
        <f t="shared" si="385"/>
        <v>11972240.042999342</v>
      </c>
      <c r="F279" s="378"/>
      <c r="G279" s="467">
        <f t="shared" si="376"/>
        <v>13340171.042999342</v>
      </c>
      <c r="H279" s="378">
        <v>25233509</v>
      </c>
      <c r="I279" s="268">
        <f t="shared" si="386"/>
        <v>15855509.074619524</v>
      </c>
      <c r="J279" s="378"/>
      <c r="K279" s="467">
        <f t="shared" si="377"/>
        <v>41089018.074619524</v>
      </c>
      <c r="L279" s="467">
        <f t="shared" si="378"/>
        <v>39472082.304928027</v>
      </c>
      <c r="M279" s="378">
        <v>815365</v>
      </c>
      <c r="N279" s="268">
        <f t="shared" si="387"/>
        <v>23103703.64864102</v>
      </c>
      <c r="O279" s="378"/>
      <c r="P279" s="467">
        <f t="shared" si="379"/>
        <v>23919068.64864102</v>
      </c>
      <c r="Q279" s="467">
        <f t="shared" si="380"/>
        <v>22977805.033982296</v>
      </c>
      <c r="R279" s="378">
        <v>1732097.2680500001</v>
      </c>
      <c r="S279" s="268">
        <f t="shared" si="388"/>
        <v>31342011.960601177</v>
      </c>
      <c r="T279" s="378"/>
      <c r="U279" s="467">
        <f t="shared" si="381"/>
        <v>33074109.228651177</v>
      </c>
      <c r="V279" s="467">
        <f t="shared" si="382"/>
        <v>31772576.294343285</v>
      </c>
      <c r="W279" s="378">
        <v>22251811</v>
      </c>
      <c r="X279" s="268">
        <f t="shared" si="389"/>
        <v>56318357.584014714</v>
      </c>
      <c r="Y279" s="378"/>
      <c r="Z279" s="467">
        <f t="shared" si="383"/>
        <v>78570168.584014714</v>
      </c>
      <c r="AA279" s="378">
        <v>49593003.617169999</v>
      </c>
      <c r="AB279" s="268">
        <f t="shared" si="390"/>
        <v>2790420.0651764702</v>
      </c>
      <c r="AC279" s="378"/>
      <c r="AD279" s="467">
        <f t="shared" si="384"/>
        <v>52383423.682346471</v>
      </c>
      <c r="AE279" s="378">
        <f t="shared" si="375"/>
        <v>100993716.88522001</v>
      </c>
      <c r="AF279" s="378">
        <v>4468563</v>
      </c>
      <c r="AG279" s="264">
        <v>22600.579485631064</v>
      </c>
      <c r="AH279" s="370">
        <v>38674813.658245869</v>
      </c>
      <c r="AI279" s="612">
        <f t="shared" si="391"/>
        <v>141382242.37605223</v>
      </c>
      <c r="AJ279" s="466">
        <f t="shared" si="392"/>
        <v>281050772.91951811</v>
      </c>
      <c r="AK279" s="219" t="s">
        <v>100</v>
      </c>
      <c r="FA279"/>
      <c r="FB279"/>
      <c r="FC279"/>
      <c r="FD279"/>
      <c r="FE279"/>
      <c r="FF279"/>
      <c r="FG279"/>
      <c r="FH279"/>
      <c r="FI279"/>
      <c r="FJ279"/>
      <c r="FK279"/>
      <c r="FL279"/>
      <c r="FM279"/>
      <c r="FN279"/>
      <c r="FO279"/>
      <c r="FP279"/>
      <c r="FQ279"/>
      <c r="FR279"/>
      <c r="FS279"/>
      <c r="FT279"/>
      <c r="FU279"/>
    </row>
    <row r="280" spans="2:177">
      <c r="B280" s="219" t="s">
        <v>101</v>
      </c>
      <c r="C280" s="155">
        <v>100</v>
      </c>
      <c r="D280" s="378">
        <v>789976</v>
      </c>
      <c r="E280" s="268">
        <f t="shared" si="385"/>
        <v>11972240.042999342</v>
      </c>
      <c r="F280" s="378"/>
      <c r="G280" s="467">
        <f t="shared" si="376"/>
        <v>12762216.042999342</v>
      </c>
      <c r="H280" s="378">
        <v>1725004</v>
      </c>
      <c r="I280" s="268">
        <f t="shared" si="386"/>
        <v>15855509.074619524</v>
      </c>
      <c r="J280" s="378"/>
      <c r="K280" s="467">
        <f t="shared" si="377"/>
        <v>17580513.074619524</v>
      </c>
      <c r="L280" s="467">
        <f t="shared" si="378"/>
        <v>16888684.411587048</v>
      </c>
      <c r="M280" s="378">
        <v>22522243</v>
      </c>
      <c r="N280" s="268">
        <f t="shared" si="387"/>
        <v>23103703.64864102</v>
      </c>
      <c r="O280" s="378"/>
      <c r="P280" s="467">
        <f t="shared" si="379"/>
        <v>45625946.64864102</v>
      </c>
      <c r="Q280" s="467">
        <f t="shared" si="380"/>
        <v>43830473.585053906</v>
      </c>
      <c r="R280" s="378">
        <v>2398696.1730499999</v>
      </c>
      <c r="S280" s="268">
        <f t="shared" si="388"/>
        <v>31342011.960601177</v>
      </c>
      <c r="T280" s="378"/>
      <c r="U280" s="467">
        <f t="shared" si="381"/>
        <v>33740708.133651175</v>
      </c>
      <c r="V280" s="467">
        <f t="shared" si="382"/>
        <v>32412943.187383924</v>
      </c>
      <c r="W280" s="378">
        <v>16579346</v>
      </c>
      <c r="X280" s="268">
        <f t="shared" si="389"/>
        <v>56318357.584014714</v>
      </c>
      <c r="Y280" s="378"/>
      <c r="Z280" s="467">
        <f t="shared" si="383"/>
        <v>72897703.584014714</v>
      </c>
      <c r="AA280" s="378">
        <v>1907550</v>
      </c>
      <c r="AB280" s="268">
        <f t="shared" si="390"/>
        <v>2790420.0651764702</v>
      </c>
      <c r="AC280" s="378"/>
      <c r="AD280" s="467">
        <f t="shared" si="384"/>
        <v>4697970.0651764702</v>
      </c>
      <c r="AE280" s="378">
        <f t="shared" si="375"/>
        <v>45922815.173050001</v>
      </c>
      <c r="AF280" s="378">
        <v>4109571</v>
      </c>
      <c r="AG280" s="264">
        <v>11174.600748606119</v>
      </c>
      <c r="AH280" s="370">
        <v>49637040.845245868</v>
      </c>
      <c r="AI280" s="612">
        <f t="shared" si="391"/>
        <v>141382242.37605223</v>
      </c>
      <c r="AJ280" s="466">
        <f t="shared" si="392"/>
        <v>236942098.39434808</v>
      </c>
      <c r="AK280" s="219" t="s">
        <v>101</v>
      </c>
      <c r="FA280"/>
      <c r="FB280"/>
      <c r="FC280"/>
      <c r="FD280"/>
      <c r="FE280"/>
      <c r="FF280"/>
      <c r="FG280"/>
      <c r="FH280"/>
      <c r="FI280"/>
      <c r="FJ280"/>
      <c r="FK280"/>
      <c r="FL280"/>
      <c r="FM280"/>
      <c r="FN280"/>
      <c r="FO280"/>
      <c r="FP280"/>
      <c r="FQ280"/>
      <c r="FR280"/>
      <c r="FS280"/>
      <c r="FT280"/>
      <c r="FU280"/>
    </row>
    <row r="281" spans="2:177">
      <c r="B281" s="219" t="s">
        <v>90</v>
      </c>
      <c r="C281" s="155">
        <v>137</v>
      </c>
      <c r="D281" s="378">
        <v>1392690</v>
      </c>
      <c r="E281" s="268">
        <f t="shared" si="385"/>
        <v>11972240.042999342</v>
      </c>
      <c r="F281" s="378"/>
      <c r="G281" s="467">
        <f t="shared" si="376"/>
        <v>13364930.042999342</v>
      </c>
      <c r="H281" s="378">
        <v>2051113</v>
      </c>
      <c r="I281" s="268">
        <f t="shared" si="386"/>
        <v>15855509.074619524</v>
      </c>
      <c r="J281" s="378"/>
      <c r="K281" s="467">
        <f t="shared" si="377"/>
        <v>17906622.074619524</v>
      </c>
      <c r="L281" s="467">
        <f t="shared" si="378"/>
        <v>17201960.364421971</v>
      </c>
      <c r="M281" s="378">
        <v>2215739</v>
      </c>
      <c r="N281" s="268">
        <f t="shared" si="387"/>
        <v>23103703.64864102</v>
      </c>
      <c r="O281" s="378"/>
      <c r="P281" s="467">
        <f t="shared" si="379"/>
        <v>25319442.64864102</v>
      </c>
      <c r="Q281" s="467">
        <f t="shared" si="380"/>
        <v>24323071.491440542</v>
      </c>
      <c r="R281" s="378">
        <v>3918365.443</v>
      </c>
      <c r="S281" s="268">
        <f t="shared" si="388"/>
        <v>31342011.960601177</v>
      </c>
      <c r="T281" s="378"/>
      <c r="U281" s="467">
        <f t="shared" si="381"/>
        <v>35260377.403601177</v>
      </c>
      <c r="V281" s="467">
        <f t="shared" si="382"/>
        <v>33872810.405208446</v>
      </c>
      <c r="W281" s="378">
        <v>13245203.6425</v>
      </c>
      <c r="X281" s="268">
        <f t="shared" si="389"/>
        <v>56318357.584014714</v>
      </c>
      <c r="Y281" s="378"/>
      <c r="Z281" s="467">
        <f t="shared" si="383"/>
        <v>69563561.226514712</v>
      </c>
      <c r="AA281" s="378">
        <v>529190</v>
      </c>
      <c r="AB281" s="268">
        <f t="shared" si="390"/>
        <v>2790420.0651764702</v>
      </c>
      <c r="AC281" s="378"/>
      <c r="AD281" s="467">
        <f t="shared" si="384"/>
        <v>3319610.0651764702</v>
      </c>
      <c r="AE281" s="378">
        <f t="shared" si="375"/>
        <v>23352301.085500002</v>
      </c>
      <c r="AF281" s="378">
        <v>2429224</v>
      </c>
      <c r="AG281" s="264">
        <v>9613.0702996100808</v>
      </c>
      <c r="AH281" s="370">
        <v>31047802.721436337</v>
      </c>
      <c r="AI281" s="612">
        <f t="shared" si="391"/>
        <v>141382242.37605223</v>
      </c>
      <c r="AJ281" s="466">
        <f t="shared" si="392"/>
        <v>195782346.18298858</v>
      </c>
      <c r="AK281" s="219" t="s">
        <v>90</v>
      </c>
      <c r="FA281"/>
      <c r="FB281"/>
      <c r="FC281"/>
      <c r="FD281"/>
      <c r="FE281"/>
      <c r="FF281"/>
      <c r="FG281"/>
      <c r="FH281"/>
      <c r="FI281"/>
      <c r="FJ281"/>
      <c r="FK281"/>
      <c r="FL281"/>
      <c r="FM281"/>
      <c r="FN281"/>
      <c r="FO281"/>
      <c r="FP281"/>
      <c r="FQ281"/>
      <c r="FR281"/>
      <c r="FS281"/>
      <c r="FT281"/>
      <c r="FU281"/>
    </row>
    <row r="282" spans="2:177">
      <c r="B282" s="219" t="s">
        <v>137</v>
      </c>
      <c r="C282" s="155">
        <v>130</v>
      </c>
      <c r="D282" s="378">
        <v>638371.48</v>
      </c>
      <c r="E282" s="268">
        <f t="shared" si="385"/>
        <v>11972240.042999342</v>
      </c>
      <c r="F282" s="378"/>
      <c r="G282" s="467">
        <f t="shared" si="376"/>
        <v>12610611.522999343</v>
      </c>
      <c r="H282" s="378">
        <v>1891907</v>
      </c>
      <c r="I282" s="268">
        <f t="shared" si="386"/>
        <v>15855509.074619524</v>
      </c>
      <c r="J282" s="378"/>
      <c r="K282" s="467">
        <f t="shared" si="377"/>
        <v>17747416.074619524</v>
      </c>
      <c r="L282" s="467">
        <f t="shared" si="378"/>
        <v>17049019.441764098</v>
      </c>
      <c r="M282" s="378">
        <v>2914111.9314285712</v>
      </c>
      <c r="N282" s="268">
        <f t="shared" si="387"/>
        <v>23103703.64864102</v>
      </c>
      <c r="O282" s="378"/>
      <c r="P282" s="467">
        <f t="shared" si="379"/>
        <v>26017815.58006959</v>
      </c>
      <c r="Q282" s="467">
        <f t="shared" si="380"/>
        <v>24993962.038856905</v>
      </c>
      <c r="R282" s="378">
        <v>8006264.5885714293</v>
      </c>
      <c r="S282" s="268">
        <f t="shared" si="388"/>
        <v>31342011.960601177</v>
      </c>
      <c r="T282" s="378"/>
      <c r="U282" s="467">
        <f t="shared" si="381"/>
        <v>39348276.54917261</v>
      </c>
      <c r="V282" s="467">
        <f t="shared" si="382"/>
        <v>37799842.470934801</v>
      </c>
      <c r="W282" s="378">
        <v>16975884.780000001</v>
      </c>
      <c r="X282" s="268">
        <f t="shared" si="389"/>
        <v>56318357.584014714</v>
      </c>
      <c r="Y282" s="378"/>
      <c r="Z282" s="467">
        <f t="shared" si="383"/>
        <v>73294242.364014715</v>
      </c>
      <c r="AA282" s="378">
        <v>24000</v>
      </c>
      <c r="AB282" s="268">
        <f t="shared" si="390"/>
        <v>2790420.0651764702</v>
      </c>
      <c r="AC282" s="378"/>
      <c r="AD282" s="467">
        <f t="shared" si="384"/>
        <v>2814420.0651764702</v>
      </c>
      <c r="AE282" s="378">
        <f t="shared" si="375"/>
        <v>30450539.780000001</v>
      </c>
      <c r="AF282" s="378">
        <v>1616867</v>
      </c>
      <c r="AG282" s="264">
        <v>18833.05168576018</v>
      </c>
      <c r="AH282" s="370">
        <v>14467109.392978024</v>
      </c>
      <c r="AI282" s="612">
        <f t="shared" si="391"/>
        <v>141382242.37605223</v>
      </c>
      <c r="AJ282" s="466">
        <f t="shared" si="392"/>
        <v>186299891.54903024</v>
      </c>
      <c r="AK282" s="219" t="s">
        <v>137</v>
      </c>
      <c r="FA282"/>
      <c r="FB282"/>
      <c r="FC282"/>
      <c r="FD282"/>
      <c r="FE282"/>
      <c r="FF282"/>
      <c r="FG282"/>
      <c r="FH282"/>
      <c r="FI282"/>
      <c r="FJ282"/>
      <c r="FK282"/>
      <c r="FL282"/>
      <c r="FM282"/>
      <c r="FN282"/>
      <c r="FO282"/>
      <c r="FP282"/>
      <c r="FQ282"/>
      <c r="FR282"/>
      <c r="FS282"/>
      <c r="FT282"/>
      <c r="FU282"/>
    </row>
    <row r="283" spans="2:177">
      <c r="B283" s="219" t="s">
        <v>94</v>
      </c>
      <c r="C283" s="155">
        <v>26</v>
      </c>
      <c r="D283" s="378">
        <v>3264360</v>
      </c>
      <c r="E283" s="268">
        <f t="shared" si="385"/>
        <v>11972240.042999342</v>
      </c>
      <c r="F283" s="378"/>
      <c r="G283" s="467">
        <f t="shared" si="376"/>
        <v>15236600.042999342</v>
      </c>
      <c r="H283" s="378">
        <v>5775778</v>
      </c>
      <c r="I283" s="268">
        <f t="shared" si="386"/>
        <v>15855509.074619524</v>
      </c>
      <c r="J283" s="378"/>
      <c r="K283" s="467">
        <f t="shared" si="377"/>
        <v>21631287.074619524</v>
      </c>
      <c r="L283" s="467">
        <f t="shared" si="378"/>
        <v>20780052.281130452</v>
      </c>
      <c r="M283" s="378">
        <v>11861570</v>
      </c>
      <c r="N283" s="268">
        <f t="shared" si="387"/>
        <v>23103703.64864102</v>
      </c>
      <c r="O283" s="378"/>
      <c r="P283" s="467">
        <f t="shared" si="379"/>
        <v>34965273.64864102</v>
      </c>
      <c r="Q283" s="467">
        <f t="shared" si="380"/>
        <v>33589319.578459397</v>
      </c>
      <c r="R283" s="378">
        <v>19614534</v>
      </c>
      <c r="S283" s="268">
        <f t="shared" si="388"/>
        <v>31342011.960601177</v>
      </c>
      <c r="T283" s="378"/>
      <c r="U283" s="467">
        <f t="shared" si="381"/>
        <v>50956545.960601181</v>
      </c>
      <c r="V283" s="467">
        <f t="shared" si="382"/>
        <v>48951303.058130391</v>
      </c>
      <c r="W283" s="378">
        <v>11039807</v>
      </c>
      <c r="X283" s="268">
        <f t="shared" si="389"/>
        <v>56318357.584014714</v>
      </c>
      <c r="Y283" s="378"/>
      <c r="Z283" s="467">
        <f t="shared" si="383"/>
        <v>67358164.584014714</v>
      </c>
      <c r="AA283" s="378">
        <v>0</v>
      </c>
      <c r="AB283" s="268">
        <f t="shared" si="390"/>
        <v>2790420.0651764702</v>
      </c>
      <c r="AC283" s="378"/>
      <c r="AD283" s="467">
        <f t="shared" si="384"/>
        <v>2790420.0651764702</v>
      </c>
      <c r="AE283" s="378">
        <f t="shared" si="375"/>
        <v>51556049</v>
      </c>
      <c r="AF283" s="378">
        <v>3256140</v>
      </c>
      <c r="AG283" s="264">
        <v>5008.8021399571271</v>
      </c>
      <c r="AH283" s="370">
        <v>18006968.205311354</v>
      </c>
      <c r="AI283" s="612">
        <f t="shared" si="391"/>
        <v>141382242.37605223</v>
      </c>
      <c r="AJ283" s="466">
        <f t="shared" si="392"/>
        <v>210945259.58136359</v>
      </c>
      <c r="AK283" s="219" t="s">
        <v>94</v>
      </c>
      <c r="FA283"/>
      <c r="FB283"/>
      <c r="FC283"/>
      <c r="FD283"/>
      <c r="FE283"/>
      <c r="FF283"/>
      <c r="FG283"/>
      <c r="FH283"/>
      <c r="FI283"/>
      <c r="FJ283"/>
      <c r="FK283"/>
      <c r="FL283"/>
      <c r="FM283"/>
      <c r="FN283"/>
      <c r="FO283"/>
      <c r="FP283"/>
      <c r="FQ283"/>
      <c r="FR283"/>
      <c r="FS283"/>
      <c r="FT283"/>
      <c r="FU283"/>
    </row>
    <row r="284" spans="2:177" ht="15" thickBot="1">
      <c r="B284" s="222" t="s">
        <v>70</v>
      </c>
      <c r="C284" s="259">
        <v>376</v>
      </c>
      <c r="D284" s="610">
        <v>28457628.720000003</v>
      </c>
      <c r="E284" s="268">
        <f t="shared" si="385"/>
        <v>11972240.042999342</v>
      </c>
      <c r="F284" s="610"/>
      <c r="G284" s="465">
        <f t="shared" si="376"/>
        <v>40429868.762999341</v>
      </c>
      <c r="H284" s="610">
        <v>58192968.060840003</v>
      </c>
      <c r="I284" s="268">
        <f t="shared" si="386"/>
        <v>15855509.074619524</v>
      </c>
      <c r="J284" s="610"/>
      <c r="K284" s="465">
        <f t="shared" si="377"/>
        <v>74048477.135459527</v>
      </c>
      <c r="L284" s="465">
        <f t="shared" si="378"/>
        <v>71134520.14690192</v>
      </c>
      <c r="M284" s="610">
        <v>86065317.620240003</v>
      </c>
      <c r="N284" s="268">
        <f t="shared" si="387"/>
        <v>23103703.64864102</v>
      </c>
      <c r="O284" s="610"/>
      <c r="P284" s="465">
        <f t="shared" si="379"/>
        <v>109169021.26888102</v>
      </c>
      <c r="Q284" s="467">
        <f t="shared" si="380"/>
        <v>104873000.00326455</v>
      </c>
      <c r="R284" s="610">
        <v>96312883.482659996</v>
      </c>
      <c r="S284" s="268">
        <f t="shared" si="388"/>
        <v>31342011.960601177</v>
      </c>
      <c r="T284" s="610"/>
      <c r="U284" s="465">
        <f t="shared" si="381"/>
        <v>127654895.44326118</v>
      </c>
      <c r="V284" s="465">
        <f t="shared" si="382"/>
        <v>122631417.72852029</v>
      </c>
      <c r="W284" s="610">
        <v>424103845.65999997</v>
      </c>
      <c r="X284" s="268">
        <f t="shared" si="389"/>
        <v>56318357.584014714</v>
      </c>
      <c r="Y284" s="610"/>
      <c r="Z284" s="465">
        <f t="shared" si="383"/>
        <v>480422203.24401468</v>
      </c>
      <c r="AA284" s="610">
        <v>492749698.54254997</v>
      </c>
      <c r="AB284" s="268">
        <f t="shared" si="390"/>
        <v>2790420.0651764702</v>
      </c>
      <c r="AC284" s="610"/>
      <c r="AD284" s="465">
        <f t="shared" si="384"/>
        <v>495540118.60772645</v>
      </c>
      <c r="AE284" s="610">
        <f t="shared" si="375"/>
        <v>1185882342.0862899</v>
      </c>
      <c r="AF284" s="610">
        <v>11855975</v>
      </c>
      <c r="AG284" s="464">
        <v>100021.15967212649</v>
      </c>
      <c r="AH284" s="370">
        <v>134456207.59285718</v>
      </c>
      <c r="AI284" s="612">
        <f t="shared" si="391"/>
        <v>141382242.37605223</v>
      </c>
      <c r="AJ284" s="463">
        <f t="shared" si="392"/>
        <v>1461720792.0551991</v>
      </c>
      <c r="AK284" s="222" t="s">
        <v>70</v>
      </c>
      <c r="FA284"/>
      <c r="FB284"/>
      <c r="FC284"/>
      <c r="FD284"/>
      <c r="FE284"/>
      <c r="FF284"/>
      <c r="FG284"/>
      <c r="FH284"/>
      <c r="FI284"/>
      <c r="FJ284"/>
      <c r="FK284"/>
      <c r="FL284"/>
      <c r="FM284"/>
      <c r="FN284"/>
      <c r="FO284"/>
      <c r="FP284"/>
      <c r="FQ284"/>
      <c r="FR284"/>
      <c r="FS284"/>
      <c r="FT284"/>
      <c r="FU284"/>
    </row>
    <row r="285" spans="2:177" ht="15" thickBot="1">
      <c r="B285" s="221"/>
      <c r="C285" s="260"/>
      <c r="D285" s="260"/>
      <c r="E285" s="260"/>
      <c r="F285" s="260"/>
      <c r="G285" s="260"/>
      <c r="H285" s="260"/>
      <c r="I285" s="260"/>
      <c r="J285" s="260"/>
      <c r="K285" s="260"/>
      <c r="L285" s="260"/>
      <c r="M285" s="260"/>
      <c r="N285" s="260"/>
      <c r="O285" s="260"/>
      <c r="P285" s="260"/>
      <c r="Q285" s="260"/>
      <c r="R285" s="260"/>
      <c r="S285" s="260"/>
      <c r="T285" s="260"/>
      <c r="U285" s="260"/>
      <c r="V285" s="260"/>
      <c r="W285" s="260"/>
      <c r="X285" s="260"/>
      <c r="Y285" s="260"/>
      <c r="Z285" s="260"/>
      <c r="AA285" s="260"/>
      <c r="AB285" s="260"/>
      <c r="AC285" s="260"/>
      <c r="AD285" s="221"/>
      <c r="FA285"/>
      <c r="FB285"/>
      <c r="FC285"/>
      <c r="FD285"/>
      <c r="FE285"/>
      <c r="FF285"/>
      <c r="FG285"/>
      <c r="FH285"/>
      <c r="FI285"/>
      <c r="FJ285"/>
      <c r="FK285"/>
      <c r="FL285"/>
      <c r="FM285"/>
      <c r="FN285"/>
      <c r="FO285"/>
      <c r="FP285"/>
      <c r="FQ285"/>
      <c r="FR285"/>
    </row>
    <row r="286" spans="2:177" ht="15" thickBot="1">
      <c r="B286" s="261" t="s">
        <v>202</v>
      </c>
      <c r="C286" s="262">
        <v>3246</v>
      </c>
      <c r="D286" s="265">
        <f>SUM(D265:D284)</f>
        <v>324622087.13571882</v>
      </c>
      <c r="E286" s="265">
        <f>SUM(E265:E284)</f>
        <v>203528080.73098874</v>
      </c>
      <c r="F286" s="265"/>
      <c r="G286" s="265"/>
      <c r="H286" s="265">
        <f>SUM(H265:H284)</f>
        <v>573715633.10508513</v>
      </c>
      <c r="I286" s="265">
        <f>SUM(I265:I284)</f>
        <v>269543654.26853198</v>
      </c>
      <c r="J286" s="265"/>
      <c r="K286" s="265">
        <f>SUM(K265:K284)</f>
        <v>526597077.54708529</v>
      </c>
      <c r="L286" s="265">
        <f>SUM(L265:L284)</f>
        <v>505874419.99039757</v>
      </c>
      <c r="M286" s="265">
        <f>SUM(M265:M284)</f>
        <v>860249590.44869733</v>
      </c>
      <c r="N286" s="265">
        <f>SUM(N265:N284)</f>
        <v>392762962.02689719</v>
      </c>
      <c r="O286" s="265"/>
      <c r="P286" s="265">
        <f>SUM(P267:P284)</f>
        <v>698506627.65869713</v>
      </c>
      <c r="Q286" s="265">
        <f>SUM(Q267:Q284)</f>
        <v>671018982.43006694</v>
      </c>
      <c r="R286" s="265">
        <f>SUM(R265:R284)</f>
        <v>1175435971.6009734</v>
      </c>
      <c r="S286" s="265">
        <f>SUM(S265:S284)</f>
        <v>532814203.33021981</v>
      </c>
      <c r="T286" s="265"/>
      <c r="U286" s="265">
        <f>SUM(U267:U284)</f>
        <v>954752926.942307</v>
      </c>
      <c r="V286" s="265">
        <f>SUM(V267:V284)</f>
        <v>917181472.78910458</v>
      </c>
      <c r="W286" s="265">
        <f>SUM(W265:W284)</f>
        <v>2616693829.8082409</v>
      </c>
      <c r="X286" s="265">
        <f>SUM(X265:X284)</f>
        <v>957412078.92824984</v>
      </c>
      <c r="Y286" s="265"/>
      <c r="Z286" s="265"/>
      <c r="AA286" s="265">
        <f>SUM(AA265:AA284)</f>
        <v>1442549719.5610533</v>
      </c>
      <c r="AB286" s="265">
        <f>SUM(AB265:AB284)</f>
        <v>47437141.10800001</v>
      </c>
      <c r="AC286" s="265"/>
      <c r="AD286" s="265">
        <f>SUM(AD265:AD284)</f>
        <v>1338538671.5610533</v>
      </c>
      <c r="AE286" s="542">
        <f>SUM(AE265:AE284)</f>
        <v>6993266831.6597672</v>
      </c>
      <c r="AF286" s="265">
        <f>AF266</f>
        <v>92335113</v>
      </c>
      <c r="AG286" s="266">
        <f>AE286*1000/AF286</f>
        <v>75737.892167411628</v>
      </c>
      <c r="AJ286" s="291">
        <f>SUM(AJ267:AJ284)</f>
        <v>6993266831.6597691</v>
      </c>
      <c r="FA286"/>
      <c r="FB286"/>
      <c r="FC286"/>
      <c r="FD286"/>
      <c r="FE286"/>
      <c r="FF286"/>
      <c r="FG286"/>
      <c r="FH286"/>
      <c r="FI286"/>
      <c r="FJ286"/>
      <c r="FK286"/>
      <c r="FL286"/>
      <c r="FM286"/>
      <c r="FN286"/>
      <c r="FO286"/>
      <c r="FP286"/>
      <c r="FQ286"/>
      <c r="FR286"/>
      <c r="FS286"/>
      <c r="FT286"/>
      <c r="FU286"/>
    </row>
    <row r="287" spans="2:177"/>
    <row r="288" spans="2:177"/>
    <row r="289" spans="2:34" customFormat="1">
      <c r="E289" s="462"/>
    </row>
    <row r="290" spans="2:34" customFormat="1" ht="15.6" hidden="1">
      <c r="B290" s="276" t="s">
        <v>843</v>
      </c>
      <c r="E290" s="462"/>
    </row>
    <row r="291" spans="2:34" customFormat="1" ht="43.2" hidden="1">
      <c r="B291" s="71" t="s">
        <v>572</v>
      </c>
      <c r="C291" s="96" t="s">
        <v>240</v>
      </c>
      <c r="D291" s="470">
        <v>2013</v>
      </c>
      <c r="E291" s="469" t="s">
        <v>768</v>
      </c>
      <c r="F291" s="469" t="s">
        <v>767</v>
      </c>
      <c r="G291" s="107" t="s">
        <v>607</v>
      </c>
      <c r="H291" s="470">
        <v>2014</v>
      </c>
      <c r="I291" s="469" t="s">
        <v>768</v>
      </c>
      <c r="J291" s="469" t="s">
        <v>767</v>
      </c>
      <c r="K291" s="107" t="s">
        <v>608</v>
      </c>
      <c r="L291" s="470">
        <v>2015</v>
      </c>
      <c r="M291" s="470" t="s">
        <v>768</v>
      </c>
      <c r="N291" s="469" t="s">
        <v>767</v>
      </c>
      <c r="O291" s="107" t="s">
        <v>609</v>
      </c>
      <c r="P291" s="470">
        <v>2016</v>
      </c>
      <c r="Q291" s="470" t="s">
        <v>768</v>
      </c>
      <c r="R291" s="469" t="s">
        <v>767</v>
      </c>
      <c r="S291" s="107" t="s">
        <v>610</v>
      </c>
      <c r="T291" s="470" t="s">
        <v>290</v>
      </c>
      <c r="U291" s="470" t="s">
        <v>768</v>
      </c>
      <c r="V291" s="469" t="s">
        <v>767</v>
      </c>
      <c r="W291" s="270" t="s">
        <v>769</v>
      </c>
      <c r="X291" s="469" t="s">
        <v>301</v>
      </c>
      <c r="Y291" s="470" t="s">
        <v>768</v>
      </c>
      <c r="Z291" s="469" t="s">
        <v>767</v>
      </c>
      <c r="AA291" s="107" t="s">
        <v>766</v>
      </c>
      <c r="AB291" s="270" t="s">
        <v>582</v>
      </c>
      <c r="AC291" s="270" t="s">
        <v>583</v>
      </c>
      <c r="AD291" s="72" t="s">
        <v>584</v>
      </c>
    </row>
    <row r="292" spans="2:34" customFormat="1" hidden="1">
      <c r="B292" s="257" t="s">
        <v>573</v>
      </c>
      <c r="C292" s="258">
        <v>153</v>
      </c>
      <c r="D292" s="267">
        <v>44215063.17899999</v>
      </c>
      <c r="E292" s="267"/>
      <c r="F292" s="267"/>
      <c r="G292" s="467"/>
      <c r="H292" s="267">
        <v>41196845.557999998</v>
      </c>
      <c r="I292" s="267"/>
      <c r="J292" s="267"/>
      <c r="K292" s="467"/>
      <c r="L292" s="267">
        <v>142753052.79000002</v>
      </c>
      <c r="M292" s="267"/>
      <c r="N292" s="267"/>
      <c r="O292" s="467"/>
      <c r="P292" s="267">
        <v>204114424.65866667</v>
      </c>
      <c r="Q292" s="267"/>
      <c r="R292" s="267"/>
      <c r="S292" s="467"/>
      <c r="T292" s="267">
        <v>367882610.97000003</v>
      </c>
      <c r="U292" s="267"/>
      <c r="V292" s="267"/>
      <c r="W292" s="467"/>
      <c r="X292" s="267">
        <v>106820344</v>
      </c>
      <c r="Y292" s="267"/>
      <c r="Z292" s="267"/>
      <c r="AA292" s="467"/>
      <c r="AB292" s="267">
        <v>906982341.15566647</v>
      </c>
      <c r="AC292" s="267" t="s">
        <v>571</v>
      </c>
      <c r="AD292" s="263" t="s">
        <v>571</v>
      </c>
    </row>
    <row r="293" spans="2:34" customFormat="1" hidden="1">
      <c r="B293" s="257" t="s">
        <v>14</v>
      </c>
      <c r="C293" s="258">
        <v>198</v>
      </c>
      <c r="D293" s="347">
        <v>203528080.7309888</v>
      </c>
      <c r="E293" s="267"/>
      <c r="F293" s="267"/>
      <c r="G293" s="467"/>
      <c r="H293" s="347">
        <v>269543654.26853192</v>
      </c>
      <c r="I293" s="267"/>
      <c r="J293" s="267"/>
      <c r="K293" s="467"/>
      <c r="L293" s="347">
        <v>392756862.02689731</v>
      </c>
      <c r="M293" s="267"/>
      <c r="N293" s="267"/>
      <c r="O293" s="467"/>
      <c r="P293" s="347">
        <v>531928612.93021995</v>
      </c>
      <c r="Q293" s="267"/>
      <c r="R293" s="267"/>
      <c r="S293" s="467"/>
      <c r="T293" s="267">
        <v>956682046.52824998</v>
      </c>
      <c r="U293" s="267"/>
      <c r="V293" s="267"/>
      <c r="W293" s="467"/>
      <c r="X293" s="267">
        <v>47437141.107999995</v>
      </c>
      <c r="Y293" s="267"/>
      <c r="Z293" s="267"/>
      <c r="AA293" s="467"/>
      <c r="AB293" s="347">
        <v>2401876397.5928884</v>
      </c>
      <c r="AC293" s="267">
        <v>92335113</v>
      </c>
      <c r="AD293" s="263">
        <f>AB293*1000/AC293</f>
        <v>26012.600402545544</v>
      </c>
      <c r="AF293" t="s">
        <v>14</v>
      </c>
      <c r="AG293" t="s">
        <v>602</v>
      </c>
    </row>
    <row r="294" spans="2:34" customFormat="1" hidden="1">
      <c r="B294" s="257" t="s">
        <v>409</v>
      </c>
      <c r="C294" s="258">
        <v>54</v>
      </c>
      <c r="D294" s="267">
        <v>1570937</v>
      </c>
      <c r="E294" s="267"/>
      <c r="F294" s="267"/>
      <c r="G294" s="467">
        <f t="shared" ref="G294:G311" si="393">SUM(D294:F294)</f>
        <v>1570937</v>
      </c>
      <c r="H294" s="267">
        <v>151884</v>
      </c>
      <c r="I294" s="267"/>
      <c r="J294" s="267"/>
      <c r="K294" s="467">
        <f t="shared" ref="K294:K311" si="394">SUM(H294:J294)</f>
        <v>151884</v>
      </c>
      <c r="L294" s="267">
        <v>100338.51000000001</v>
      </c>
      <c r="M294" s="267"/>
      <c r="N294" s="267"/>
      <c r="O294" s="467">
        <f t="shared" ref="O294:O311" si="395">SUM(L294:N294)</f>
        <v>100338.51000000001</v>
      </c>
      <c r="P294" s="267">
        <v>819713.00300000003</v>
      </c>
      <c r="Q294" s="267"/>
      <c r="R294" s="267"/>
      <c r="S294" s="467">
        <f t="shared" ref="S294:S311" si="396">SUM(P294:R294)</f>
        <v>819713.00300000003</v>
      </c>
      <c r="T294" s="267">
        <v>15822247</v>
      </c>
      <c r="U294" s="267"/>
      <c r="V294" s="267"/>
      <c r="W294" s="467">
        <f t="shared" ref="W294:W311" si="397">SUM(T294:V294)</f>
        <v>15822247</v>
      </c>
      <c r="X294" s="267">
        <v>569174.33333333326</v>
      </c>
      <c r="Y294" s="267"/>
      <c r="Z294" s="267"/>
      <c r="AA294" s="467">
        <f t="shared" ref="AA294:AA311" si="398">SUM(X294:Z294)</f>
        <v>569174.33333333326</v>
      </c>
      <c r="AB294" s="267">
        <v>19034293.846333332</v>
      </c>
      <c r="AC294" s="267" t="s">
        <v>571</v>
      </c>
      <c r="AD294" s="263" t="s">
        <v>571</v>
      </c>
      <c r="AE294" s="291">
        <f>AB294</f>
        <v>19034293.846333332</v>
      </c>
      <c r="AF294" s="291"/>
      <c r="AG294" s="468">
        <f>SUM(AE294:AF294)</f>
        <v>19034293.846333332</v>
      </c>
      <c r="AH294" s="257" t="s">
        <v>409</v>
      </c>
    </row>
    <row r="295" spans="2:34" customFormat="1" hidden="1">
      <c r="B295" s="219" t="s">
        <v>98</v>
      </c>
      <c r="C295" s="155">
        <v>171</v>
      </c>
      <c r="D295" s="268">
        <v>2522933.6477899998</v>
      </c>
      <c r="E295" s="268">
        <f t="shared" ref="E295:E311" si="399">D$293/COUNT($D$295:$D$311)</f>
        <v>11972240.042999342</v>
      </c>
      <c r="F295" s="268"/>
      <c r="G295" s="467">
        <f t="shared" si="393"/>
        <v>14495173.690789342</v>
      </c>
      <c r="H295" s="268">
        <v>2588429.7000000002</v>
      </c>
      <c r="I295" s="268">
        <f t="shared" ref="I295:I311" si="400">H$293/COUNT($D$295:$D$311)</f>
        <v>15855509.074619524</v>
      </c>
      <c r="J295" s="268"/>
      <c r="K295" s="467">
        <f t="shared" si="394"/>
        <v>18443938.774619523</v>
      </c>
      <c r="L295" s="268">
        <v>4110626</v>
      </c>
      <c r="M295" s="268">
        <f t="shared" ref="M295:M311" si="401">L$293/COUNT($D$295:$D$311)</f>
        <v>23103344.825111605</v>
      </c>
      <c r="N295" s="268"/>
      <c r="O295" s="467">
        <f t="shared" si="395"/>
        <v>27213970.825111605</v>
      </c>
      <c r="P295" s="268">
        <v>4794340</v>
      </c>
      <c r="Q295" s="268">
        <f t="shared" ref="Q295:Q311" si="402">P$293/COUNT($D$295:$D$311)</f>
        <v>31289918.407659996</v>
      </c>
      <c r="R295" s="268"/>
      <c r="S295" s="467">
        <f t="shared" si="396"/>
        <v>36084258.407659993</v>
      </c>
      <c r="T295" s="268">
        <v>28756497</v>
      </c>
      <c r="U295" s="268">
        <f t="shared" ref="U295:U311" si="403">T$293/COUNT($D$295:$D$311)</f>
        <v>56275414.501661763</v>
      </c>
      <c r="V295" s="268"/>
      <c r="W295" s="467">
        <f t="shared" si="397"/>
        <v>85031911.501661763</v>
      </c>
      <c r="X295" s="268">
        <v>11693250</v>
      </c>
      <c r="Y295" s="268">
        <f t="shared" ref="Y295:Y311" si="404">X$293/COUNT($D$295:$D$311)</f>
        <v>2790420.0651764702</v>
      </c>
      <c r="Z295" s="268"/>
      <c r="AA295" s="467">
        <f t="shared" si="398"/>
        <v>14483670.06517647</v>
      </c>
      <c r="AB295" s="268">
        <v>54466076.347790003</v>
      </c>
      <c r="AC295" s="268">
        <v>4748372</v>
      </c>
      <c r="AD295" s="264">
        <f t="shared" ref="AD295:AD311" si="405">AB295*1000/AC295</f>
        <v>11470.473742956534</v>
      </c>
      <c r="AE295" s="370">
        <v>31389228.6714237</v>
      </c>
      <c r="AF295" s="268">
        <f t="shared" ref="AF295:AF311" si="406">AB$293/COUNT($D$295:$D$311)</f>
        <v>141286846.91722873</v>
      </c>
      <c r="AG295" s="466">
        <f t="shared" ref="AG295:AG311" si="407">AE295+AB295+AF295</f>
        <v>227142151.93644243</v>
      </c>
      <c r="AH295" s="219" t="s">
        <v>98</v>
      </c>
    </row>
    <row r="296" spans="2:34" customFormat="1" hidden="1">
      <c r="B296" s="219" t="s">
        <v>92</v>
      </c>
      <c r="C296" s="155">
        <v>145</v>
      </c>
      <c r="D296" s="268">
        <v>2347104.86</v>
      </c>
      <c r="E296" s="268">
        <f t="shared" si="399"/>
        <v>11972240.042999342</v>
      </c>
      <c r="F296" s="268"/>
      <c r="G296" s="467">
        <f t="shared" si="393"/>
        <v>14319344.902999341</v>
      </c>
      <c r="H296" s="268">
        <v>3284879.8</v>
      </c>
      <c r="I296" s="268">
        <f t="shared" si="400"/>
        <v>15855509.074619524</v>
      </c>
      <c r="J296" s="268"/>
      <c r="K296" s="467">
        <f t="shared" si="394"/>
        <v>19140388.874619525</v>
      </c>
      <c r="L296" s="268">
        <v>3442702</v>
      </c>
      <c r="M296" s="268">
        <f t="shared" si="401"/>
        <v>23103344.825111605</v>
      </c>
      <c r="N296" s="268"/>
      <c r="O296" s="467">
        <f t="shared" si="395"/>
        <v>26546046.825111605</v>
      </c>
      <c r="P296" s="268">
        <v>9346855.719349999</v>
      </c>
      <c r="Q296" s="268">
        <f t="shared" si="402"/>
        <v>31289918.407659996</v>
      </c>
      <c r="R296" s="268"/>
      <c r="S296" s="467">
        <f t="shared" si="396"/>
        <v>40636774.127009995</v>
      </c>
      <c r="T296" s="268">
        <v>37029299</v>
      </c>
      <c r="U296" s="268">
        <f t="shared" si="403"/>
        <v>56275414.501661763</v>
      </c>
      <c r="V296" s="268"/>
      <c r="W296" s="467">
        <f t="shared" si="397"/>
        <v>93304713.501661763</v>
      </c>
      <c r="X296" s="268">
        <v>0</v>
      </c>
      <c r="Y296" s="268">
        <f t="shared" si="404"/>
        <v>2790420.0651764702</v>
      </c>
      <c r="Z296" s="268"/>
      <c r="AA296" s="467">
        <f t="shared" si="398"/>
        <v>2790420.0651764702</v>
      </c>
      <c r="AB296" s="268">
        <v>55450841.379349992</v>
      </c>
      <c r="AC296" s="268">
        <v>3229163</v>
      </c>
      <c r="AD296" s="264">
        <f t="shared" si="405"/>
        <v>17171.892957819098</v>
      </c>
      <c r="AE296" s="370">
        <v>15253499.165868131</v>
      </c>
      <c r="AF296" s="268">
        <f t="shared" si="406"/>
        <v>141286846.91722873</v>
      </c>
      <c r="AG296" s="466">
        <f t="shared" si="407"/>
        <v>211991187.46244687</v>
      </c>
      <c r="AH296" s="219" t="s">
        <v>92</v>
      </c>
    </row>
    <row r="297" spans="2:34" customFormat="1" hidden="1">
      <c r="B297" s="219" t="s">
        <v>97</v>
      </c>
      <c r="C297" s="155">
        <v>246</v>
      </c>
      <c r="D297" s="268">
        <v>6307894.7986599999</v>
      </c>
      <c r="E297" s="268">
        <f t="shared" si="399"/>
        <v>11972240.042999342</v>
      </c>
      <c r="F297" s="268"/>
      <c r="G297" s="467">
        <f t="shared" si="393"/>
        <v>18280134.841659341</v>
      </c>
      <c r="H297" s="268">
        <v>61213022.699039996</v>
      </c>
      <c r="I297" s="268">
        <f t="shared" si="400"/>
        <v>15855509.074619524</v>
      </c>
      <c r="J297" s="268"/>
      <c r="K297" s="467">
        <f t="shared" si="394"/>
        <v>77068531.773659527</v>
      </c>
      <c r="L297" s="268">
        <v>89442328.592999995</v>
      </c>
      <c r="M297" s="268">
        <f t="shared" si="401"/>
        <v>23103344.825111605</v>
      </c>
      <c r="N297" s="268"/>
      <c r="O297" s="467">
        <f t="shared" si="395"/>
        <v>112545673.41811159</v>
      </c>
      <c r="P297" s="268">
        <v>186252060.42079997</v>
      </c>
      <c r="Q297" s="268">
        <f t="shared" si="402"/>
        <v>31289918.407659996</v>
      </c>
      <c r="R297" s="268"/>
      <c r="S297" s="467">
        <f t="shared" si="396"/>
        <v>217541978.82845998</v>
      </c>
      <c r="T297" s="268">
        <v>444496191.39999998</v>
      </c>
      <c r="U297" s="268">
        <f t="shared" si="403"/>
        <v>56275414.501661763</v>
      </c>
      <c r="V297" s="268"/>
      <c r="W297" s="467">
        <f t="shared" si="397"/>
        <v>500771605.90166175</v>
      </c>
      <c r="X297" s="268">
        <v>5661630</v>
      </c>
      <c r="Y297" s="268">
        <f t="shared" si="404"/>
        <v>2790420.0651764702</v>
      </c>
      <c r="Z297" s="268"/>
      <c r="AA297" s="467">
        <f t="shared" si="398"/>
        <v>8452050.0651764702</v>
      </c>
      <c r="AB297" s="268">
        <v>793373127.91150022</v>
      </c>
      <c r="AC297" s="268">
        <v>10137737</v>
      </c>
      <c r="AD297" s="264">
        <f t="shared" si="405"/>
        <v>78259.391411663193</v>
      </c>
      <c r="AE297" s="370">
        <v>242703923.80975699</v>
      </c>
      <c r="AF297" s="268">
        <f t="shared" si="406"/>
        <v>141286846.91722873</v>
      </c>
      <c r="AG297" s="466">
        <f t="shared" si="407"/>
        <v>1177363898.6384859</v>
      </c>
      <c r="AH297" s="219" t="s">
        <v>97</v>
      </c>
    </row>
    <row r="298" spans="2:34" customFormat="1" hidden="1">
      <c r="B298" s="219" t="s">
        <v>112</v>
      </c>
      <c r="C298" s="155">
        <v>191</v>
      </c>
      <c r="D298" s="268">
        <v>6868644.8499999996</v>
      </c>
      <c r="E298" s="268">
        <f t="shared" si="399"/>
        <v>11972240.042999342</v>
      </c>
      <c r="F298" s="268"/>
      <c r="G298" s="467">
        <f t="shared" si="393"/>
        <v>18840884.892999344</v>
      </c>
      <c r="H298" s="268">
        <v>51894353.993333332</v>
      </c>
      <c r="I298" s="268">
        <f t="shared" si="400"/>
        <v>15855509.074619524</v>
      </c>
      <c r="J298" s="268"/>
      <c r="K298" s="467">
        <f t="shared" si="394"/>
        <v>67749863.067952856</v>
      </c>
      <c r="L298" s="268">
        <v>52206795.434</v>
      </c>
      <c r="M298" s="268">
        <f t="shared" si="401"/>
        <v>23103344.825111605</v>
      </c>
      <c r="N298" s="268"/>
      <c r="O298" s="467">
        <f t="shared" si="395"/>
        <v>75310140.259111613</v>
      </c>
      <c r="P298" s="268">
        <v>36401021.609999999</v>
      </c>
      <c r="Q298" s="268">
        <f t="shared" si="402"/>
        <v>31289918.407659996</v>
      </c>
      <c r="R298" s="268"/>
      <c r="S298" s="467">
        <f t="shared" si="396"/>
        <v>67690940.017659992</v>
      </c>
      <c r="T298" s="268">
        <v>180174450.22</v>
      </c>
      <c r="U298" s="268">
        <f t="shared" si="403"/>
        <v>56275414.501661763</v>
      </c>
      <c r="V298" s="268"/>
      <c r="W298" s="467">
        <f t="shared" si="397"/>
        <v>236449864.72166175</v>
      </c>
      <c r="X298" s="268">
        <v>3182000</v>
      </c>
      <c r="Y298" s="268">
        <f t="shared" si="404"/>
        <v>2790420.0651764702</v>
      </c>
      <c r="Z298" s="268"/>
      <c r="AA298" s="467">
        <f t="shared" si="398"/>
        <v>5972420.0651764702</v>
      </c>
      <c r="AB298" s="268">
        <v>330727266.10733336</v>
      </c>
      <c r="AC298" s="268">
        <v>12609803</v>
      </c>
      <c r="AD298" s="264">
        <f t="shared" si="405"/>
        <v>26227.790085803354</v>
      </c>
      <c r="AE298" s="370">
        <v>238139575.1449621</v>
      </c>
      <c r="AF298" s="268">
        <f t="shared" si="406"/>
        <v>141286846.91722873</v>
      </c>
      <c r="AG298" s="466">
        <f t="shared" si="407"/>
        <v>710153688.16952419</v>
      </c>
      <c r="AH298" s="219" t="s">
        <v>112</v>
      </c>
    </row>
    <row r="299" spans="2:34" customFormat="1" hidden="1">
      <c r="B299" s="219" t="s">
        <v>93</v>
      </c>
      <c r="C299" s="155">
        <v>155</v>
      </c>
      <c r="D299" s="268">
        <v>974292</v>
      </c>
      <c r="E299" s="268">
        <f t="shared" si="399"/>
        <v>11972240.042999342</v>
      </c>
      <c r="F299" s="268"/>
      <c r="G299" s="467">
        <f t="shared" si="393"/>
        <v>12946532.042999342</v>
      </c>
      <c r="H299" s="268">
        <v>3652814</v>
      </c>
      <c r="I299" s="268">
        <f t="shared" si="400"/>
        <v>15855509.074619524</v>
      </c>
      <c r="J299" s="268"/>
      <c r="K299" s="467">
        <f t="shared" si="394"/>
        <v>19508323.074619524</v>
      </c>
      <c r="L299" s="268">
        <v>7361197.4633714287</v>
      </c>
      <c r="M299" s="268">
        <f t="shared" si="401"/>
        <v>23103344.825111605</v>
      </c>
      <c r="N299" s="268"/>
      <c r="O299" s="467">
        <f t="shared" si="395"/>
        <v>30464542.288483035</v>
      </c>
      <c r="P299" s="268">
        <v>5883047.280228571</v>
      </c>
      <c r="Q299" s="268">
        <f t="shared" si="402"/>
        <v>31289918.407659996</v>
      </c>
      <c r="R299" s="268"/>
      <c r="S299" s="467">
        <f t="shared" si="396"/>
        <v>37172965.68788857</v>
      </c>
      <c r="T299" s="268">
        <v>15369454.8654</v>
      </c>
      <c r="U299" s="268">
        <f t="shared" si="403"/>
        <v>56275414.501661763</v>
      </c>
      <c r="V299" s="268"/>
      <c r="W299" s="467">
        <f t="shared" si="397"/>
        <v>71644869.367061764</v>
      </c>
      <c r="X299" s="268">
        <v>293000</v>
      </c>
      <c r="Y299" s="268">
        <f t="shared" si="404"/>
        <v>2790420.0651764702</v>
      </c>
      <c r="Z299" s="268"/>
      <c r="AA299" s="467">
        <f t="shared" si="398"/>
        <v>3083420.0651764702</v>
      </c>
      <c r="AB299" s="268">
        <v>33533805.609000001</v>
      </c>
      <c r="AC299" s="268">
        <v>2744671</v>
      </c>
      <c r="AD299" s="264">
        <f t="shared" si="405"/>
        <v>12217.786980297456</v>
      </c>
      <c r="AE299" s="370">
        <v>9660819.2949255183</v>
      </c>
      <c r="AF299" s="268">
        <f t="shared" si="406"/>
        <v>141286846.91722873</v>
      </c>
      <c r="AG299" s="466">
        <f t="shared" si="407"/>
        <v>184481471.82115424</v>
      </c>
      <c r="AH299" s="219" t="s">
        <v>93</v>
      </c>
    </row>
    <row r="300" spans="2:34" customFormat="1" hidden="1">
      <c r="B300" s="219" t="s">
        <v>95</v>
      </c>
      <c r="C300" s="155">
        <v>123</v>
      </c>
      <c r="D300" s="268">
        <v>1419446</v>
      </c>
      <c r="E300" s="268">
        <f t="shared" si="399"/>
        <v>11972240.042999342</v>
      </c>
      <c r="F300" s="268"/>
      <c r="G300" s="467">
        <f t="shared" si="393"/>
        <v>13391686.042999342</v>
      </c>
      <c r="H300" s="268">
        <v>2724819</v>
      </c>
      <c r="I300" s="268">
        <f t="shared" si="400"/>
        <v>15855509.074619524</v>
      </c>
      <c r="J300" s="268"/>
      <c r="K300" s="467">
        <f t="shared" si="394"/>
        <v>18580328.074619524</v>
      </c>
      <c r="L300" s="268">
        <v>5730984</v>
      </c>
      <c r="M300" s="268">
        <f t="shared" si="401"/>
        <v>23103344.825111605</v>
      </c>
      <c r="N300" s="268"/>
      <c r="O300" s="467">
        <f t="shared" si="395"/>
        <v>28834328.825111605</v>
      </c>
      <c r="P300" s="268">
        <v>4738005.2680500001</v>
      </c>
      <c r="Q300" s="268">
        <f t="shared" si="402"/>
        <v>31289918.407659996</v>
      </c>
      <c r="R300" s="268"/>
      <c r="S300" s="467">
        <f t="shared" si="396"/>
        <v>36027923.675709993</v>
      </c>
      <c r="T300" s="268">
        <v>13336721</v>
      </c>
      <c r="U300" s="268">
        <f t="shared" si="403"/>
        <v>56275414.501661763</v>
      </c>
      <c r="V300" s="268"/>
      <c r="W300" s="467">
        <f t="shared" si="397"/>
        <v>69612135.501661763</v>
      </c>
      <c r="X300" s="268">
        <v>0</v>
      </c>
      <c r="Y300" s="268">
        <f t="shared" si="404"/>
        <v>2790420.0651764702</v>
      </c>
      <c r="Z300" s="268"/>
      <c r="AA300" s="467">
        <f t="shared" si="398"/>
        <v>2790420.0651764702</v>
      </c>
      <c r="AB300" s="268">
        <v>27949975.26805</v>
      </c>
      <c r="AC300" s="268">
        <v>5420411</v>
      </c>
      <c r="AD300" s="264">
        <f t="shared" si="405"/>
        <v>5156.4309916812581</v>
      </c>
      <c r="AE300" s="370">
        <v>15217680.306036631</v>
      </c>
      <c r="AF300" s="268">
        <f t="shared" si="406"/>
        <v>141286846.91722873</v>
      </c>
      <c r="AG300" s="466">
        <f t="shared" si="407"/>
        <v>184454502.49131536</v>
      </c>
      <c r="AH300" s="219" t="s">
        <v>95</v>
      </c>
    </row>
    <row r="301" spans="2:34" customFormat="1" hidden="1">
      <c r="B301" s="219" t="s">
        <v>88</v>
      </c>
      <c r="C301" s="155">
        <v>270</v>
      </c>
      <c r="D301" s="268">
        <v>5207282.5592800006</v>
      </c>
      <c r="E301" s="268">
        <f t="shared" si="399"/>
        <v>11972240.042999342</v>
      </c>
      <c r="F301" s="268"/>
      <c r="G301" s="467">
        <f t="shared" si="393"/>
        <v>17179522.602279343</v>
      </c>
      <c r="H301" s="268">
        <v>16184754.5397</v>
      </c>
      <c r="I301" s="268">
        <f t="shared" si="400"/>
        <v>15855509.074619524</v>
      </c>
      <c r="J301" s="268"/>
      <c r="K301" s="467">
        <f t="shared" si="394"/>
        <v>32040263.614319526</v>
      </c>
      <c r="L301" s="268">
        <v>7733880.0446199998</v>
      </c>
      <c r="M301" s="268">
        <f t="shared" si="401"/>
        <v>23103344.825111605</v>
      </c>
      <c r="N301" s="268"/>
      <c r="O301" s="467">
        <f t="shared" si="395"/>
        <v>30837224.869731605</v>
      </c>
      <c r="P301" s="268">
        <v>33715066</v>
      </c>
      <c r="Q301" s="268">
        <f t="shared" si="402"/>
        <v>31289918.407659996</v>
      </c>
      <c r="R301" s="268"/>
      <c r="S301" s="467">
        <f t="shared" si="396"/>
        <v>65004984.407659993</v>
      </c>
      <c r="T301" s="268">
        <v>72540542</v>
      </c>
      <c r="U301" s="268">
        <f t="shared" si="403"/>
        <v>56275414.501661763</v>
      </c>
      <c r="V301" s="268"/>
      <c r="W301" s="467">
        <f t="shared" si="397"/>
        <v>128815956.50166176</v>
      </c>
      <c r="X301" s="268">
        <v>159486414</v>
      </c>
      <c r="Y301" s="268">
        <f t="shared" si="404"/>
        <v>2790420.0651764702</v>
      </c>
      <c r="Z301" s="268"/>
      <c r="AA301" s="467">
        <f t="shared" si="398"/>
        <v>162276834.06517646</v>
      </c>
      <c r="AB301" s="268">
        <v>294867939.14359999</v>
      </c>
      <c r="AC301" s="268">
        <v>7102438</v>
      </c>
      <c r="AD301" s="264">
        <f t="shared" si="405"/>
        <v>41516.439727259851</v>
      </c>
      <c r="AE301" s="370">
        <v>14217857.356290597</v>
      </c>
      <c r="AF301" s="268">
        <f t="shared" si="406"/>
        <v>141286846.91722873</v>
      </c>
      <c r="AG301" s="466">
        <f t="shared" si="407"/>
        <v>450372643.41711926</v>
      </c>
      <c r="AH301" s="219" t="s">
        <v>88</v>
      </c>
    </row>
    <row r="302" spans="2:34" customFormat="1" hidden="1">
      <c r="B302" s="219" t="s">
        <v>99</v>
      </c>
      <c r="C302" s="155">
        <v>118</v>
      </c>
      <c r="D302" s="268">
        <v>4507982.4499999993</v>
      </c>
      <c r="E302" s="268">
        <f t="shared" si="399"/>
        <v>11972240.042999342</v>
      </c>
      <c r="F302" s="268"/>
      <c r="G302" s="467">
        <f t="shared" si="393"/>
        <v>16480222.492999341</v>
      </c>
      <c r="H302" s="268">
        <v>12212033.939999999</v>
      </c>
      <c r="I302" s="268">
        <f t="shared" si="400"/>
        <v>15855509.074619524</v>
      </c>
      <c r="J302" s="268"/>
      <c r="K302" s="467">
        <f t="shared" si="394"/>
        <v>28067543.014619522</v>
      </c>
      <c r="L302" s="268">
        <v>6200577.7990000006</v>
      </c>
      <c r="M302" s="268">
        <f t="shared" si="401"/>
        <v>23103344.825111605</v>
      </c>
      <c r="N302" s="268"/>
      <c r="O302" s="467">
        <f t="shared" si="395"/>
        <v>29303922.624111608</v>
      </c>
      <c r="P302" s="268">
        <v>5231881.780621429</v>
      </c>
      <c r="Q302" s="268">
        <f t="shared" si="402"/>
        <v>31289918.407659996</v>
      </c>
      <c r="R302" s="268"/>
      <c r="S302" s="467">
        <f t="shared" si="396"/>
        <v>36521800.188281424</v>
      </c>
      <c r="T302" s="268">
        <v>22110683.683428571</v>
      </c>
      <c r="U302" s="268">
        <f t="shared" si="403"/>
        <v>56275414.501661763</v>
      </c>
      <c r="V302" s="268"/>
      <c r="W302" s="467">
        <f t="shared" si="397"/>
        <v>78386098.185090333</v>
      </c>
      <c r="X302" s="268">
        <v>49372759</v>
      </c>
      <c r="Y302" s="268">
        <f t="shared" si="404"/>
        <v>2790420.0651764702</v>
      </c>
      <c r="Z302" s="268"/>
      <c r="AA302" s="467">
        <f t="shared" si="398"/>
        <v>52163179.065176472</v>
      </c>
      <c r="AB302" s="268">
        <v>99635918.653049991</v>
      </c>
      <c r="AC302" s="268">
        <v>6800180</v>
      </c>
      <c r="AD302" s="264">
        <f t="shared" si="405"/>
        <v>14651.953132571489</v>
      </c>
      <c r="AE302" s="370">
        <v>12644810.692401709</v>
      </c>
      <c r="AF302" s="268">
        <f t="shared" si="406"/>
        <v>141286846.91722873</v>
      </c>
      <c r="AG302" s="466">
        <f t="shared" si="407"/>
        <v>253567576.26268041</v>
      </c>
      <c r="AH302" s="219" t="s">
        <v>99</v>
      </c>
    </row>
    <row r="303" spans="2:34" customFormat="1" hidden="1">
      <c r="B303" s="219" t="s">
        <v>87</v>
      </c>
      <c r="C303" s="155">
        <v>177</v>
      </c>
      <c r="D303" s="268">
        <v>4145650.86</v>
      </c>
      <c r="E303" s="268">
        <f t="shared" si="399"/>
        <v>11972240.042999342</v>
      </c>
      <c r="F303" s="268"/>
      <c r="G303" s="467">
        <f t="shared" si="393"/>
        <v>16117890.902999341</v>
      </c>
      <c r="H303" s="268">
        <v>3840791.4325000001</v>
      </c>
      <c r="I303" s="268">
        <f t="shared" si="400"/>
        <v>15855509.074619524</v>
      </c>
      <c r="J303" s="268"/>
      <c r="K303" s="467">
        <f t="shared" si="394"/>
        <v>19696300.507119525</v>
      </c>
      <c r="L303" s="268">
        <v>3760000.247</v>
      </c>
      <c r="M303" s="268">
        <f t="shared" si="401"/>
        <v>23103344.825111605</v>
      </c>
      <c r="N303" s="268"/>
      <c r="O303" s="467">
        <f t="shared" si="395"/>
        <v>26863345.072111607</v>
      </c>
      <c r="P303" s="268">
        <v>7474854.2680500001</v>
      </c>
      <c r="Q303" s="268">
        <f t="shared" si="402"/>
        <v>31289918.407659996</v>
      </c>
      <c r="R303" s="268"/>
      <c r="S303" s="467">
        <f t="shared" si="396"/>
        <v>38764772.675709993</v>
      </c>
      <c r="T303" s="268">
        <v>13190250</v>
      </c>
      <c r="U303" s="268">
        <f t="shared" si="403"/>
        <v>56275414.501661763</v>
      </c>
      <c r="V303" s="268"/>
      <c r="W303" s="467">
        <f t="shared" si="397"/>
        <v>69465664.501661763</v>
      </c>
      <c r="X303" s="268">
        <v>30783800</v>
      </c>
      <c r="Y303" s="268">
        <f t="shared" si="404"/>
        <v>2790420.0651764702</v>
      </c>
      <c r="Z303" s="268"/>
      <c r="AA303" s="467">
        <f t="shared" si="398"/>
        <v>33574220.065176472</v>
      </c>
      <c r="AB303" s="268">
        <v>63195346.807549998</v>
      </c>
      <c r="AC303" s="268">
        <v>4101322</v>
      </c>
      <c r="AD303" s="264">
        <f t="shared" si="405"/>
        <v>15408.530909679854</v>
      </c>
      <c r="AE303" s="370">
        <v>11710992.175735041</v>
      </c>
      <c r="AF303" s="268">
        <f t="shared" si="406"/>
        <v>141286846.91722873</v>
      </c>
      <c r="AG303" s="466">
        <f t="shared" si="407"/>
        <v>216193185.90051377</v>
      </c>
      <c r="AH303" s="219" t="s">
        <v>87</v>
      </c>
    </row>
    <row r="304" spans="2:34" customFormat="1" hidden="1">
      <c r="B304" s="219" t="s">
        <v>89</v>
      </c>
      <c r="C304" s="155">
        <v>118</v>
      </c>
      <c r="D304" s="268">
        <v>1201642</v>
      </c>
      <c r="E304" s="268">
        <f t="shared" si="399"/>
        <v>11972240.042999342</v>
      </c>
      <c r="F304" s="268"/>
      <c r="G304" s="467">
        <f t="shared" si="393"/>
        <v>13173882.042999342</v>
      </c>
      <c r="H304" s="268">
        <v>1712283</v>
      </c>
      <c r="I304" s="268">
        <f t="shared" si="400"/>
        <v>15855509.074619524</v>
      </c>
      <c r="J304" s="268"/>
      <c r="K304" s="467">
        <f t="shared" si="394"/>
        <v>17567792.074619524</v>
      </c>
      <c r="L304" s="268">
        <v>2102709</v>
      </c>
      <c r="M304" s="268">
        <f t="shared" si="401"/>
        <v>23103344.825111605</v>
      </c>
      <c r="N304" s="268"/>
      <c r="O304" s="467">
        <f t="shared" si="395"/>
        <v>25206053.825111605</v>
      </c>
      <c r="P304" s="268">
        <v>3235433.5780500001</v>
      </c>
      <c r="Q304" s="268">
        <f t="shared" si="402"/>
        <v>31289918.407659996</v>
      </c>
      <c r="R304" s="268"/>
      <c r="S304" s="467">
        <f t="shared" si="396"/>
        <v>34525351.985709995</v>
      </c>
      <c r="T304" s="268">
        <v>14152670</v>
      </c>
      <c r="U304" s="268">
        <f t="shared" si="403"/>
        <v>56275414.501661763</v>
      </c>
      <c r="V304" s="268"/>
      <c r="W304" s="467">
        <f t="shared" si="397"/>
        <v>70428084.501661763</v>
      </c>
      <c r="X304" s="268">
        <v>719000</v>
      </c>
      <c r="Y304" s="268">
        <f t="shared" si="404"/>
        <v>2790420.0651764702</v>
      </c>
      <c r="Z304" s="268"/>
      <c r="AA304" s="467">
        <f t="shared" si="398"/>
        <v>3509420.0651764702</v>
      </c>
      <c r="AB304" s="268">
        <v>23123737.578050002</v>
      </c>
      <c r="AC304" s="268">
        <v>3407353</v>
      </c>
      <c r="AD304" s="264">
        <f t="shared" si="405"/>
        <v>6786.4226506763471</v>
      </c>
      <c r="AE304" s="370">
        <v>9244511.9777985383</v>
      </c>
      <c r="AF304" s="268">
        <f t="shared" si="406"/>
        <v>141286846.91722873</v>
      </c>
      <c r="AG304" s="466">
        <f t="shared" si="407"/>
        <v>173655096.47307727</v>
      </c>
      <c r="AH304" s="219" t="s">
        <v>89</v>
      </c>
    </row>
    <row r="305" spans="1:156" hidden="1">
      <c r="B305" s="219" t="s">
        <v>91</v>
      </c>
      <c r="C305" s="155">
        <v>124</v>
      </c>
      <c r="D305" s="268">
        <v>1630305</v>
      </c>
      <c r="E305" s="268">
        <f t="shared" si="399"/>
        <v>11972240.042999342</v>
      </c>
      <c r="F305" s="268"/>
      <c r="G305" s="467">
        <f t="shared" si="393"/>
        <v>13602545.042999342</v>
      </c>
      <c r="H305" s="268">
        <v>2755078.1131400005</v>
      </c>
      <c r="I305" s="268">
        <f t="shared" si="400"/>
        <v>15855509.074619524</v>
      </c>
      <c r="J305" s="268"/>
      <c r="K305" s="467">
        <f t="shared" si="394"/>
        <v>18610587.187759526</v>
      </c>
      <c r="L305" s="268">
        <v>7554489.9891400002</v>
      </c>
      <c r="M305" s="268">
        <f t="shared" si="401"/>
        <v>23103344.825111605</v>
      </c>
      <c r="N305" s="268"/>
      <c r="O305" s="467">
        <f t="shared" si="395"/>
        <v>30657834.814251605</v>
      </c>
      <c r="P305" s="268">
        <v>7580397.0571599994</v>
      </c>
      <c r="Q305" s="268">
        <f t="shared" si="402"/>
        <v>31289918.407659996</v>
      </c>
      <c r="R305" s="268"/>
      <c r="S305" s="467">
        <f t="shared" si="396"/>
        <v>38870315.464819998</v>
      </c>
      <c r="T305" s="268">
        <v>36681299.799999997</v>
      </c>
      <c r="U305" s="268">
        <f t="shared" si="403"/>
        <v>56275414.501661763</v>
      </c>
      <c r="V305" s="268"/>
      <c r="W305" s="467">
        <f t="shared" si="397"/>
        <v>92956714.30166176</v>
      </c>
      <c r="X305" s="268">
        <v>232000</v>
      </c>
      <c r="Y305" s="268">
        <f t="shared" si="404"/>
        <v>2790420.0651764702</v>
      </c>
      <c r="Z305" s="268"/>
      <c r="AA305" s="467">
        <f t="shared" si="398"/>
        <v>3022420.0651764702</v>
      </c>
      <c r="AB305" s="268">
        <v>56433569.95944</v>
      </c>
      <c r="AC305" s="268">
        <v>4297323</v>
      </c>
      <c r="AD305" s="264">
        <f t="shared" si="405"/>
        <v>13132.261633449476</v>
      </c>
      <c r="AE305" s="370">
        <v>29775321.616687424</v>
      </c>
      <c r="AF305" s="268">
        <f t="shared" si="406"/>
        <v>141286846.91722873</v>
      </c>
      <c r="AG305" s="466">
        <f t="shared" si="407"/>
        <v>227495738.49335617</v>
      </c>
      <c r="AH305" s="219" t="s">
        <v>91</v>
      </c>
    </row>
    <row r="306" spans="1:156" hidden="1">
      <c r="B306" s="219" t="s">
        <v>100</v>
      </c>
      <c r="C306" s="155">
        <v>93</v>
      </c>
      <c r="D306" s="268">
        <v>1367931</v>
      </c>
      <c r="E306" s="268">
        <f t="shared" si="399"/>
        <v>11972240.042999342</v>
      </c>
      <c r="F306" s="268"/>
      <c r="G306" s="467">
        <f t="shared" si="393"/>
        <v>13340171.042999342</v>
      </c>
      <c r="H306" s="268">
        <v>25233509</v>
      </c>
      <c r="I306" s="268">
        <f t="shared" si="400"/>
        <v>15855509.074619524</v>
      </c>
      <c r="J306" s="268"/>
      <c r="K306" s="467">
        <f t="shared" si="394"/>
        <v>41089018.074619524</v>
      </c>
      <c r="L306" s="268">
        <v>815365</v>
      </c>
      <c r="M306" s="268">
        <f t="shared" si="401"/>
        <v>23103344.825111605</v>
      </c>
      <c r="N306" s="268"/>
      <c r="O306" s="467">
        <f t="shared" si="395"/>
        <v>23918709.825111605</v>
      </c>
      <c r="P306" s="268">
        <v>1732097.2680500001</v>
      </c>
      <c r="Q306" s="268">
        <f t="shared" si="402"/>
        <v>31289918.407659996</v>
      </c>
      <c r="R306" s="268"/>
      <c r="S306" s="467">
        <f t="shared" si="396"/>
        <v>33022015.675709996</v>
      </c>
      <c r="T306" s="268">
        <v>22251811</v>
      </c>
      <c r="U306" s="268">
        <f t="shared" si="403"/>
        <v>56275414.501661763</v>
      </c>
      <c r="V306" s="268"/>
      <c r="W306" s="467">
        <f t="shared" si="397"/>
        <v>78527225.501661763</v>
      </c>
      <c r="X306" s="268">
        <v>18993003.617169999</v>
      </c>
      <c r="Y306" s="268">
        <f t="shared" si="404"/>
        <v>2790420.0651764702</v>
      </c>
      <c r="Z306" s="268"/>
      <c r="AA306" s="467">
        <f t="shared" si="398"/>
        <v>21783423.682346471</v>
      </c>
      <c r="AB306" s="268">
        <v>70393716.885219991</v>
      </c>
      <c r="AC306" s="268">
        <v>4468563</v>
      </c>
      <c r="AD306" s="264">
        <f t="shared" si="405"/>
        <v>15753.099348766033</v>
      </c>
      <c r="AE306" s="370">
        <v>35280144.116687424</v>
      </c>
      <c r="AF306" s="268">
        <f t="shared" si="406"/>
        <v>141286846.91722873</v>
      </c>
      <c r="AG306" s="466">
        <f t="shared" si="407"/>
        <v>246960707.91913614</v>
      </c>
      <c r="AH306" s="219" t="s">
        <v>100</v>
      </c>
    </row>
    <row r="307" spans="1:156" hidden="1">
      <c r="B307" s="219" t="s">
        <v>101</v>
      </c>
      <c r="C307" s="155">
        <v>97</v>
      </c>
      <c r="D307" s="378">
        <v>789976</v>
      </c>
      <c r="E307" s="378">
        <f t="shared" si="399"/>
        <v>11972240.042999342</v>
      </c>
      <c r="F307" s="378"/>
      <c r="G307" s="467">
        <f t="shared" si="393"/>
        <v>12762216.042999342</v>
      </c>
      <c r="H307" s="378">
        <v>1725004</v>
      </c>
      <c r="I307" s="378">
        <f t="shared" si="400"/>
        <v>15855509.074619524</v>
      </c>
      <c r="J307" s="378"/>
      <c r="K307" s="467">
        <f t="shared" si="394"/>
        <v>17580513.074619524</v>
      </c>
      <c r="L307" s="378">
        <v>22522243</v>
      </c>
      <c r="M307" s="378">
        <f t="shared" si="401"/>
        <v>23103344.825111605</v>
      </c>
      <c r="N307" s="378"/>
      <c r="O307" s="467">
        <f t="shared" si="395"/>
        <v>45625587.825111605</v>
      </c>
      <c r="P307" s="378">
        <v>2480582.844495561</v>
      </c>
      <c r="Q307" s="378">
        <f t="shared" si="402"/>
        <v>31289918.407659996</v>
      </c>
      <c r="R307" s="378"/>
      <c r="S307" s="467">
        <f t="shared" si="396"/>
        <v>33770501.252155557</v>
      </c>
      <c r="T307" s="378">
        <v>16760791.858662073</v>
      </c>
      <c r="U307" s="378">
        <f t="shared" si="403"/>
        <v>56275414.501661763</v>
      </c>
      <c r="V307" s="378"/>
      <c r="W307" s="467">
        <f t="shared" si="397"/>
        <v>73036206.360323831</v>
      </c>
      <c r="X307" s="378">
        <v>0</v>
      </c>
      <c r="Y307" s="378">
        <f t="shared" si="404"/>
        <v>2790420.0651764702</v>
      </c>
      <c r="Z307" s="378"/>
      <c r="AA307" s="467">
        <f t="shared" si="398"/>
        <v>2790420.0651764702</v>
      </c>
      <c r="AB307" s="378">
        <v>44278597.703157634</v>
      </c>
      <c r="AC307" s="378">
        <v>4109571</v>
      </c>
      <c r="AD307" s="264">
        <f t="shared" si="405"/>
        <v>10774.50607451669</v>
      </c>
      <c r="AE307" s="370">
        <v>46242371.303687431</v>
      </c>
      <c r="AF307" s="268">
        <f t="shared" si="406"/>
        <v>141286846.91722873</v>
      </c>
      <c r="AG307" s="466">
        <f t="shared" si="407"/>
        <v>231807815.92407379</v>
      </c>
      <c r="AH307" s="219" t="s">
        <v>101</v>
      </c>
    </row>
    <row r="308" spans="1:156" hidden="1">
      <c r="B308" s="219" t="s">
        <v>90</v>
      </c>
      <c r="C308" s="155">
        <v>132</v>
      </c>
      <c r="D308" s="378">
        <v>1392690</v>
      </c>
      <c r="E308" s="378">
        <f t="shared" si="399"/>
        <v>11972240.042999342</v>
      </c>
      <c r="F308" s="378"/>
      <c r="G308" s="467">
        <f t="shared" si="393"/>
        <v>13364930.042999342</v>
      </c>
      <c r="H308" s="378">
        <v>2051113</v>
      </c>
      <c r="I308" s="378">
        <f t="shared" si="400"/>
        <v>15855509.074619524</v>
      </c>
      <c r="J308" s="378"/>
      <c r="K308" s="467">
        <f t="shared" si="394"/>
        <v>17906622.074619524</v>
      </c>
      <c r="L308" s="378">
        <v>2215739</v>
      </c>
      <c r="M308" s="378">
        <f t="shared" si="401"/>
        <v>23103344.825111605</v>
      </c>
      <c r="N308" s="378"/>
      <c r="O308" s="467">
        <f t="shared" si="395"/>
        <v>25319083.825111605</v>
      </c>
      <c r="P308" s="378">
        <v>3908365.443</v>
      </c>
      <c r="Q308" s="378">
        <f t="shared" si="402"/>
        <v>31289918.407659996</v>
      </c>
      <c r="R308" s="378"/>
      <c r="S308" s="467">
        <f t="shared" si="396"/>
        <v>35198283.850659996</v>
      </c>
      <c r="T308" s="378">
        <v>13245203.6425</v>
      </c>
      <c r="U308" s="378">
        <f t="shared" si="403"/>
        <v>56275414.501661763</v>
      </c>
      <c r="V308" s="378"/>
      <c r="W308" s="467">
        <f t="shared" si="397"/>
        <v>69520618.144161761</v>
      </c>
      <c r="X308" s="378">
        <v>20000</v>
      </c>
      <c r="Y308" s="378">
        <f t="shared" si="404"/>
        <v>2790420.0651764702</v>
      </c>
      <c r="Z308" s="378"/>
      <c r="AA308" s="467">
        <f t="shared" si="398"/>
        <v>2810420.0651764702</v>
      </c>
      <c r="AB308" s="378">
        <v>22833111.085500002</v>
      </c>
      <c r="AC308" s="378">
        <v>2429224</v>
      </c>
      <c r="AD308" s="264">
        <f t="shared" si="405"/>
        <v>9399.3436115813111</v>
      </c>
      <c r="AE308" s="370">
        <v>10562526.745358976</v>
      </c>
      <c r="AF308" s="268">
        <f t="shared" si="406"/>
        <v>141286846.91722873</v>
      </c>
      <c r="AG308" s="466">
        <f t="shared" si="407"/>
        <v>174682484.7480877</v>
      </c>
      <c r="AH308" s="219" t="s">
        <v>90</v>
      </c>
    </row>
    <row r="309" spans="1:156" hidden="1">
      <c r="B309" s="219" t="s">
        <v>137</v>
      </c>
      <c r="C309" s="155">
        <v>117</v>
      </c>
      <c r="D309" s="268">
        <v>638371.48</v>
      </c>
      <c r="E309" s="268">
        <f t="shared" si="399"/>
        <v>11972240.042999342</v>
      </c>
      <c r="F309" s="268"/>
      <c r="G309" s="467">
        <f t="shared" si="393"/>
        <v>12610611.522999343</v>
      </c>
      <c r="H309" s="268">
        <v>1891907</v>
      </c>
      <c r="I309" s="268">
        <f t="shared" si="400"/>
        <v>15855509.074619524</v>
      </c>
      <c r="J309" s="268"/>
      <c r="K309" s="467">
        <f t="shared" si="394"/>
        <v>17747416.074619524</v>
      </c>
      <c r="L309" s="268">
        <v>2914111.9314285708</v>
      </c>
      <c r="M309" s="268">
        <f t="shared" si="401"/>
        <v>23103344.825111605</v>
      </c>
      <c r="N309" s="268"/>
      <c r="O309" s="467">
        <f t="shared" si="395"/>
        <v>26017456.756540176</v>
      </c>
      <c r="P309" s="268">
        <v>7962014.5885714293</v>
      </c>
      <c r="Q309" s="268">
        <f t="shared" si="402"/>
        <v>31289918.407659996</v>
      </c>
      <c r="R309" s="268"/>
      <c r="S309" s="467">
        <f t="shared" si="396"/>
        <v>39251932.996231422</v>
      </c>
      <c r="T309" s="268">
        <v>16975884.780000001</v>
      </c>
      <c r="U309" s="268">
        <f t="shared" si="403"/>
        <v>56275414.501661763</v>
      </c>
      <c r="V309" s="268"/>
      <c r="W309" s="467">
        <f t="shared" si="397"/>
        <v>73251299.281661764</v>
      </c>
      <c r="X309" s="268">
        <v>24000</v>
      </c>
      <c r="Y309" s="268">
        <f t="shared" si="404"/>
        <v>2790420.0651764702</v>
      </c>
      <c r="Z309" s="268"/>
      <c r="AA309" s="467">
        <f t="shared" si="398"/>
        <v>2814420.0651764702</v>
      </c>
      <c r="AB309" s="268">
        <v>30406289.780000001</v>
      </c>
      <c r="AC309" s="268">
        <v>1616867</v>
      </c>
      <c r="AD309" s="264">
        <f t="shared" si="405"/>
        <v>18805.683943082517</v>
      </c>
      <c r="AE309" s="370">
        <v>18059154.605311353</v>
      </c>
      <c r="AF309" s="268">
        <f t="shared" si="406"/>
        <v>141286846.91722873</v>
      </c>
      <c r="AG309" s="466">
        <f t="shared" si="407"/>
        <v>189752291.30254006</v>
      </c>
      <c r="AH309" s="219" t="s">
        <v>137</v>
      </c>
    </row>
    <row r="310" spans="1:156" ht="12" hidden="1" customHeight="1">
      <c r="B310" s="219" t="s">
        <v>94</v>
      </c>
      <c r="C310" s="155">
        <v>25</v>
      </c>
      <c r="D310" s="268">
        <v>3264360</v>
      </c>
      <c r="E310" s="268">
        <f t="shared" si="399"/>
        <v>11972240.042999342</v>
      </c>
      <c r="F310" s="268"/>
      <c r="G310" s="467">
        <f t="shared" si="393"/>
        <v>15236600.042999342</v>
      </c>
      <c r="H310" s="268">
        <v>5775778</v>
      </c>
      <c r="I310" s="268">
        <f t="shared" si="400"/>
        <v>15855509.074619524</v>
      </c>
      <c r="J310" s="268"/>
      <c r="K310" s="467">
        <f t="shared" si="394"/>
        <v>21631287.074619524</v>
      </c>
      <c r="L310" s="268">
        <v>11861570</v>
      </c>
      <c r="M310" s="268">
        <f t="shared" si="401"/>
        <v>23103344.825111605</v>
      </c>
      <c r="N310" s="268"/>
      <c r="O310" s="467">
        <f t="shared" si="395"/>
        <v>34964914.825111605</v>
      </c>
      <c r="P310" s="268">
        <v>19611534</v>
      </c>
      <c r="Q310" s="268">
        <f t="shared" si="402"/>
        <v>31289918.407659996</v>
      </c>
      <c r="R310" s="268"/>
      <c r="S310" s="467">
        <f t="shared" si="396"/>
        <v>50901452.407659993</v>
      </c>
      <c r="T310" s="268">
        <v>11039807</v>
      </c>
      <c r="U310" s="268">
        <f t="shared" si="403"/>
        <v>56275414.501661763</v>
      </c>
      <c r="V310" s="268"/>
      <c r="W310" s="467">
        <f t="shared" si="397"/>
        <v>67315221.501661763</v>
      </c>
      <c r="X310" s="268">
        <v>0</v>
      </c>
      <c r="Y310" s="268">
        <f t="shared" si="404"/>
        <v>2790420.0651764702</v>
      </c>
      <c r="Z310" s="268"/>
      <c r="AA310" s="467">
        <f t="shared" si="398"/>
        <v>2790420.0651764702</v>
      </c>
      <c r="AB310" s="268">
        <v>51553049</v>
      </c>
      <c r="AC310" s="268">
        <v>3256140</v>
      </c>
      <c r="AD310" s="264">
        <f t="shared" si="405"/>
        <v>15832.565245966083</v>
      </c>
      <c r="AE310" s="370">
        <v>27653133.1798779</v>
      </c>
      <c r="AF310" s="268">
        <f t="shared" si="406"/>
        <v>141286846.91722873</v>
      </c>
      <c r="AG310" s="466">
        <f t="shared" si="407"/>
        <v>220493029.09710664</v>
      </c>
      <c r="AH310" s="219" t="s">
        <v>94</v>
      </c>
    </row>
    <row r="311" spans="1:156" ht="15" hidden="1" thickBot="1">
      <c r="B311" s="222" t="s">
        <v>70</v>
      </c>
      <c r="C311" s="259">
        <v>369</v>
      </c>
      <c r="D311" s="269">
        <v>30188628.720000003</v>
      </c>
      <c r="E311" s="269">
        <f t="shared" si="399"/>
        <v>11972240.042999342</v>
      </c>
      <c r="F311" s="269"/>
      <c r="G311" s="465">
        <f t="shared" si="393"/>
        <v>42160868.762999341</v>
      </c>
      <c r="H311" s="269">
        <v>60425308.060839996</v>
      </c>
      <c r="I311" s="269">
        <f t="shared" si="400"/>
        <v>15855509.074619524</v>
      </c>
      <c r="J311" s="269"/>
      <c r="K311" s="465">
        <f t="shared" si="394"/>
        <v>76280817.135459512</v>
      </c>
      <c r="L311" s="269">
        <v>88327017.620240003</v>
      </c>
      <c r="M311" s="269">
        <f t="shared" si="401"/>
        <v>23103344.825111605</v>
      </c>
      <c r="N311" s="269"/>
      <c r="O311" s="465">
        <f t="shared" si="395"/>
        <v>111430362.4453516</v>
      </c>
      <c r="P311" s="269">
        <v>89006755.482659996</v>
      </c>
      <c r="Q311" s="269">
        <f t="shared" si="402"/>
        <v>31289918.407659996</v>
      </c>
      <c r="R311" s="269"/>
      <c r="S311" s="465">
        <f t="shared" si="396"/>
        <v>120296673.89031999</v>
      </c>
      <c r="T311" s="269">
        <v>359401765.65999997</v>
      </c>
      <c r="U311" s="269">
        <f t="shared" si="403"/>
        <v>56275414.501661763</v>
      </c>
      <c r="V311" s="269"/>
      <c r="W311" s="465">
        <f t="shared" si="397"/>
        <v>415677180.16166174</v>
      </c>
      <c r="X311" s="269">
        <v>573701908.54254997</v>
      </c>
      <c r="Y311" s="269">
        <f t="shared" si="404"/>
        <v>2790420.0651764702</v>
      </c>
      <c r="Z311" s="269"/>
      <c r="AA311" s="465">
        <f t="shared" si="398"/>
        <v>576492328.60772645</v>
      </c>
      <c r="AB311" s="269">
        <v>1201051384.0862899</v>
      </c>
      <c r="AC311" s="269">
        <v>11855975</v>
      </c>
      <c r="AD311" s="464">
        <f t="shared" si="405"/>
        <v>101303.46800548161</v>
      </c>
      <c r="AE311" s="370">
        <v>134508393.99285716</v>
      </c>
      <c r="AF311" s="268">
        <f t="shared" si="406"/>
        <v>141286846.91722873</v>
      </c>
      <c r="AG311" s="463">
        <f t="shared" si="407"/>
        <v>1476846624.9963758</v>
      </c>
      <c r="AH311" s="222" t="s">
        <v>70</v>
      </c>
    </row>
    <row r="312" spans="1:156" hidden="1">
      <c r="B312" s="221"/>
      <c r="C312" s="260"/>
      <c r="D312" s="260"/>
      <c r="E312" s="260"/>
      <c r="F312" s="260"/>
      <c r="G312" s="260"/>
      <c r="H312" s="260"/>
      <c r="I312" s="260"/>
      <c r="J312" s="260"/>
      <c r="K312" s="260"/>
      <c r="L312" s="260"/>
      <c r="M312" s="260"/>
      <c r="N312" s="260"/>
      <c r="O312" s="260"/>
      <c r="P312" s="260"/>
      <c r="Q312" s="260"/>
      <c r="R312" s="260"/>
      <c r="S312" s="260"/>
      <c r="T312" s="260"/>
      <c r="U312" s="260"/>
      <c r="V312" s="260"/>
      <c r="W312" s="260"/>
      <c r="X312" s="260"/>
      <c r="Y312" s="260"/>
      <c r="Z312" s="260"/>
      <c r="AA312" s="260"/>
      <c r="AB312" s="260"/>
      <c r="AC312" s="260"/>
      <c r="AD312" s="221"/>
    </row>
    <row r="313" spans="1:156" ht="15" hidden="1" thickBot="1">
      <c r="B313" s="261" t="s">
        <v>202</v>
      </c>
      <c r="C313" s="262">
        <v>3076</v>
      </c>
      <c r="D313" s="265">
        <f>SUM(D292:D311)</f>
        <v>324089217.13571882</v>
      </c>
      <c r="E313" s="265">
        <f>SUM(E292:E311)</f>
        <v>203528080.73098874</v>
      </c>
      <c r="F313" s="265"/>
      <c r="G313" s="265">
        <f>SUM(G292:G311)</f>
        <v>279874153.95671874</v>
      </c>
      <c r="H313" s="265">
        <f>SUM(H292:H311)</f>
        <v>570058263.10508513</v>
      </c>
      <c r="I313" s="265" t="str">
        <f>IF(SUM(I295:I311)=H293,"Consistent","Inconsistent")</f>
        <v>Consistent</v>
      </c>
      <c r="J313" s="265"/>
      <c r="K313" s="265">
        <f>SUM(K292:K311)</f>
        <v>528861417.54708529</v>
      </c>
      <c r="L313" s="265">
        <f>SUM(L292:L311)</f>
        <v>853912590.44869733</v>
      </c>
      <c r="M313" s="265" t="str">
        <f>IF(SUM(M295:M311)=L293,"Consistent","Inconsistent")</f>
        <v>Consistent</v>
      </c>
      <c r="N313" s="265"/>
      <c r="O313" s="265">
        <f>SUM(O292:O311)</f>
        <v>711159537.65869737</v>
      </c>
      <c r="P313" s="265">
        <f>SUM(P292:P311)</f>
        <v>1166217063.2009735</v>
      </c>
      <c r="Q313" s="265" t="str">
        <f>IF(SUM(Q295:Q311)=P293,"Consistent","Inconsistent")</f>
        <v>Consistent</v>
      </c>
      <c r="R313" s="265"/>
      <c r="S313" s="265">
        <f>SUM(S292:S311)</f>
        <v>962102638.5423069</v>
      </c>
      <c r="T313" s="265">
        <f>SUM(T292:T311)</f>
        <v>2657900227.4082413</v>
      </c>
      <c r="U313" s="265" t="str">
        <f>IF(SUM(U295:U311)=T293,"Consistent","Inconsistent")</f>
        <v>Consistent</v>
      </c>
      <c r="V313" s="265"/>
      <c r="W313" s="265">
        <f>SUM(W292:W311)</f>
        <v>2290017616.4382405</v>
      </c>
      <c r="X313" s="265">
        <f>SUM(X292:X311)</f>
        <v>1008989424.6010532</v>
      </c>
      <c r="Y313" s="265" t="str">
        <f>IF(SUM(Y295:Y311)=X293,"Consistent","Inconsistent")</f>
        <v>Consistent</v>
      </c>
      <c r="Z313" s="265"/>
      <c r="AA313" s="265">
        <f>SUM(AA292:AA311)</f>
        <v>902169080.60105348</v>
      </c>
      <c r="AB313" s="542">
        <f>SUM(AB292:AB311)</f>
        <v>6581166785.8997707</v>
      </c>
      <c r="AC313" s="265">
        <f>AC293</f>
        <v>92335113</v>
      </c>
      <c r="AD313" s="266">
        <f>AB313*1000/AC313</f>
        <v>71274.800799775607</v>
      </c>
      <c r="AG313" s="291">
        <f>SUM(AG294:AG311)</f>
        <v>6576448388.8997698</v>
      </c>
    </row>
    <row r="314" spans="1:156" hidden="1"/>
    <row r="315" spans="1:156" hidden="1">
      <c r="AB315" s="291"/>
    </row>
    <row r="316" spans="1:156">
      <c r="AA316" t="s">
        <v>803</v>
      </c>
      <c r="AB316" s="370">
        <v>6583760703.8997698</v>
      </c>
    </row>
    <row r="317" spans="1:156"/>
    <row r="318" spans="1:156" ht="18">
      <c r="A318" s="557"/>
      <c r="B318" s="559" t="s">
        <v>807</v>
      </c>
      <c r="C318" s="557"/>
      <c r="D318" s="557"/>
      <c r="E318" s="558"/>
      <c r="F318" s="557"/>
      <c r="G318" s="557"/>
      <c r="H318" s="557"/>
      <c r="I318" s="557"/>
      <c r="J318" s="557"/>
      <c r="K318" s="557"/>
      <c r="L318" s="557"/>
      <c r="M318" s="557"/>
      <c r="N318" s="557"/>
      <c r="O318" s="557"/>
      <c r="P318" s="557"/>
      <c r="Q318" s="557"/>
      <c r="R318" s="557"/>
      <c r="S318" s="557"/>
      <c r="T318" s="557"/>
      <c r="U318" s="557"/>
      <c r="V318" s="557"/>
      <c r="W318" s="557"/>
      <c r="X318" s="557"/>
      <c r="Y318" s="557"/>
      <c r="Z318" s="557"/>
      <c r="AA318" s="557"/>
      <c r="AB318" s="557"/>
      <c r="AC318" s="557"/>
      <c r="AD318" s="557"/>
      <c r="AE318" s="557"/>
      <c r="AF318" s="557"/>
      <c r="AG318" s="557"/>
      <c r="AH318" s="557"/>
      <c r="AI318" s="557"/>
      <c r="AJ318" s="557"/>
      <c r="AK318" s="557"/>
      <c r="AL318" s="557"/>
      <c r="AM318" s="557"/>
      <c r="AN318" s="557"/>
      <c r="AO318" s="557"/>
      <c r="AP318" s="557"/>
      <c r="AQ318" s="557"/>
      <c r="AR318" s="557"/>
      <c r="AS318" s="557"/>
      <c r="AT318" s="557"/>
      <c r="AU318" s="557"/>
      <c r="AV318" s="557"/>
      <c r="AW318" s="557"/>
      <c r="AX318" s="557"/>
      <c r="AY318" s="557"/>
      <c r="AZ318" s="557"/>
      <c r="BA318" s="557"/>
      <c r="BB318" s="557"/>
      <c r="BC318" s="557"/>
      <c r="BD318" s="557"/>
      <c r="BE318" s="557"/>
      <c r="BF318" s="557"/>
      <c r="BG318" s="557"/>
      <c r="BH318" s="557"/>
      <c r="BI318" s="557"/>
      <c r="BJ318" s="557"/>
      <c r="BK318" s="557"/>
      <c r="BL318" s="557"/>
      <c r="BM318" s="557"/>
      <c r="BN318" s="557"/>
      <c r="BO318" s="557"/>
      <c r="BP318" s="557"/>
      <c r="BQ318" s="557"/>
      <c r="BR318" s="557"/>
      <c r="BS318" s="557"/>
      <c r="BT318" s="557"/>
      <c r="BU318" s="557"/>
      <c r="BV318" s="557"/>
      <c r="BW318" s="557"/>
      <c r="BX318" s="557"/>
      <c r="BY318" s="557"/>
      <c r="BZ318" s="557"/>
      <c r="CA318" s="557"/>
      <c r="CB318" s="557"/>
      <c r="CC318" s="557"/>
      <c r="CD318" s="557"/>
      <c r="CE318" s="557"/>
      <c r="CF318" s="557"/>
      <c r="CG318" s="557"/>
      <c r="CH318" s="557"/>
      <c r="CI318" s="557"/>
      <c r="CJ318" s="557"/>
      <c r="CK318" s="557"/>
      <c r="CL318" s="557"/>
      <c r="CM318" s="557"/>
      <c r="CN318" s="557"/>
      <c r="CO318" s="557"/>
      <c r="CP318" s="557"/>
      <c r="CQ318" s="557"/>
      <c r="CR318" s="557"/>
      <c r="CS318" s="557"/>
      <c r="CT318" s="557"/>
      <c r="CU318" s="557"/>
      <c r="CV318" s="557"/>
      <c r="CW318" s="557"/>
      <c r="CX318" s="557"/>
      <c r="CY318" s="557"/>
      <c r="CZ318" s="557"/>
      <c r="DA318" s="557"/>
      <c r="DB318" s="557"/>
      <c r="DC318" s="557"/>
      <c r="DD318" s="557"/>
      <c r="DE318" s="557"/>
      <c r="DF318" s="557"/>
      <c r="DG318" s="557"/>
      <c r="DH318" s="557"/>
      <c r="DI318" s="557"/>
      <c r="DJ318" s="557"/>
      <c r="DK318" s="557"/>
      <c r="DL318" s="557"/>
      <c r="DM318" s="557"/>
      <c r="DN318" s="557"/>
      <c r="DO318" s="557"/>
      <c r="DP318" s="557"/>
      <c r="DQ318" s="557"/>
      <c r="DR318" s="557"/>
      <c r="DS318" s="557"/>
      <c r="DT318" s="557"/>
      <c r="DU318" s="557"/>
      <c r="DV318" s="557"/>
      <c r="DW318" s="557"/>
      <c r="DX318" s="557"/>
      <c r="DY318" s="557"/>
      <c r="DZ318" s="557"/>
      <c r="EA318" s="557"/>
      <c r="EB318" s="557"/>
      <c r="EC318" s="557"/>
      <c r="ED318" s="557"/>
      <c r="EE318" s="557"/>
      <c r="EF318" s="557"/>
      <c r="EG318" s="557"/>
      <c r="EH318" s="557"/>
      <c r="EI318" s="557"/>
      <c r="EJ318" s="557"/>
      <c r="EK318" s="557"/>
      <c r="EL318" s="557"/>
      <c r="EM318" s="557"/>
      <c r="EN318" s="557"/>
      <c r="EO318" s="557"/>
      <c r="EP318" s="557"/>
      <c r="EQ318" s="557"/>
      <c r="ER318" s="557"/>
      <c r="ES318" s="557"/>
      <c r="ET318" s="557"/>
      <c r="EU318" s="557"/>
      <c r="EV318" s="557"/>
      <c r="EW318" s="557"/>
      <c r="EX318" s="557"/>
      <c r="EY318" s="557"/>
      <c r="EZ318" s="557"/>
    </row>
    <row r="319" spans="1:156"/>
    <row r="320" spans="1:156" ht="16.2" thickBot="1">
      <c r="B320" s="276" t="s">
        <v>805</v>
      </c>
      <c r="J320" t="s">
        <v>804</v>
      </c>
      <c r="M320" s="640" t="s">
        <v>833</v>
      </c>
      <c r="O320" s="866" t="s">
        <v>851</v>
      </c>
      <c r="P320" s="866"/>
      <c r="Q320" s="654" t="s">
        <v>850</v>
      </c>
      <c r="R320" s="639" t="s">
        <v>834</v>
      </c>
    </row>
    <row r="321" spans="2:157" ht="51" customHeight="1">
      <c r="B321" s="495" t="s">
        <v>776</v>
      </c>
      <c r="C321" s="494" t="s">
        <v>240</v>
      </c>
      <c r="D321" s="493" t="s">
        <v>775</v>
      </c>
      <c r="E321" s="493" t="s">
        <v>774</v>
      </c>
      <c r="F321" s="493" t="s">
        <v>773</v>
      </c>
      <c r="G321" s="493" t="s">
        <v>772</v>
      </c>
      <c r="H321" s="492" t="s">
        <v>586</v>
      </c>
      <c r="J321" s="549" t="s">
        <v>771</v>
      </c>
      <c r="K321" s="493" t="s">
        <v>770</v>
      </c>
      <c r="L321" s="493" t="s">
        <v>450</v>
      </c>
      <c r="M321" s="492" t="s">
        <v>586</v>
      </c>
      <c r="O321" s="549" t="s">
        <v>844</v>
      </c>
      <c r="P321" s="549" t="s">
        <v>845</v>
      </c>
      <c r="Q321" s="493" t="s">
        <v>770</v>
      </c>
      <c r="R321" s="493" t="s">
        <v>450</v>
      </c>
      <c r="S321" s="492" t="s">
        <v>586</v>
      </c>
      <c r="FA321"/>
    </row>
    <row r="322" spans="2:157">
      <c r="B322" s="491" t="s">
        <v>98</v>
      </c>
      <c r="C322" s="490">
        <v>181</v>
      </c>
      <c r="D322" s="479">
        <v>244995801.70955163</v>
      </c>
      <c r="E322" s="489">
        <v>4748372</v>
      </c>
      <c r="F322" s="479">
        <f t="shared" ref="F322:F338" si="408">D322/E322*1000</f>
        <v>51595.747281289594</v>
      </c>
      <c r="G322" s="479">
        <v>359706534.52999997</v>
      </c>
      <c r="H322" s="488">
        <f>S322</f>
        <v>0.10360256612048953</v>
      </c>
      <c r="J322" s="550">
        <f t="shared" ref="J322:J338" si="409">EJ199</f>
        <v>19341095.130153846</v>
      </c>
      <c r="K322" s="479">
        <f t="shared" ref="K322:K338" si="410">G268+K268+P268+U268</f>
        <v>96300394.074651062</v>
      </c>
      <c r="L322" s="543">
        <f t="shared" ref="L322:L339" si="411">SUM(J322:K322)</f>
        <v>115641489.20480491</v>
      </c>
      <c r="M322" s="551">
        <f t="shared" ref="M322:M338" si="412">(L322/3)/G322</f>
        <v>0.10716281014642903</v>
      </c>
      <c r="O322" s="550">
        <f t="shared" ref="O322:O338" si="413">EJ178</f>
        <v>3516528.3001697194</v>
      </c>
      <c r="P322" s="550">
        <f t="shared" ref="P322:P338" si="414">$F$259*EJ239</f>
        <v>15201838.194785126</v>
      </c>
      <c r="Q322" s="479">
        <f t="shared" ref="Q322:Q338" si="415">L268+Q268+V268+G268</f>
        <v>93081193.587894559</v>
      </c>
      <c r="R322" s="543">
        <f t="shared" ref="R322:R339" si="416">SUM(O322:Q322)</f>
        <v>111799560.08284941</v>
      </c>
      <c r="S322" s="551">
        <f t="shared" ref="S322:S338" si="417">(R322/3)/G322</f>
        <v>0.10360256612048953</v>
      </c>
      <c r="FA322"/>
    </row>
    <row r="323" spans="2:157">
      <c r="B323" s="486" t="s">
        <v>92</v>
      </c>
      <c r="C323" s="485">
        <v>148</v>
      </c>
      <c r="D323" s="487">
        <v>212041196.52127033</v>
      </c>
      <c r="E323" s="471">
        <v>3229163</v>
      </c>
      <c r="F323" s="479">
        <f t="shared" si="408"/>
        <v>65664.4450965375</v>
      </c>
      <c r="G323" s="487">
        <v>208546726.68000001</v>
      </c>
      <c r="H323" s="488">
        <f t="shared" ref="H323:H338" si="418">S323</f>
        <v>0.16766619749771078</v>
      </c>
      <c r="J323" s="550">
        <f t="shared" si="409"/>
        <v>7848701.4968205132</v>
      </c>
      <c r="K323" s="479">
        <f t="shared" si="410"/>
        <v>100701807.10621107</v>
      </c>
      <c r="L323" s="544">
        <f t="shared" si="411"/>
        <v>108550508.60303158</v>
      </c>
      <c r="M323" s="552">
        <f t="shared" si="412"/>
        <v>0.17350309661392183</v>
      </c>
      <c r="O323" s="550">
        <f t="shared" si="413"/>
        <v>1432907.8473919416</v>
      </c>
      <c r="P323" s="550">
        <f t="shared" si="414"/>
        <v>6163319.2236858793</v>
      </c>
      <c r="Q323" s="479">
        <f t="shared" si="415"/>
        <v>97302482.918012142</v>
      </c>
      <c r="R323" s="543">
        <f t="shared" si="416"/>
        <v>104898709.98908997</v>
      </c>
      <c r="S323" s="551">
        <f t="shared" si="417"/>
        <v>0.16766619749771078</v>
      </c>
      <c r="FA323"/>
    </row>
    <row r="324" spans="2:157">
      <c r="B324" s="486" t="s">
        <v>97</v>
      </c>
      <c r="C324" s="485">
        <v>269</v>
      </c>
      <c r="D324" s="487">
        <v>1360396339.3715947</v>
      </c>
      <c r="E324" s="471">
        <v>10137737</v>
      </c>
      <c r="F324" s="479">
        <f t="shared" si="408"/>
        <v>134191.32291275606</v>
      </c>
      <c r="G324" s="487">
        <v>1018224367.09</v>
      </c>
      <c r="H324" s="488">
        <f t="shared" si="418"/>
        <v>0.16078988217814755</v>
      </c>
      <c r="J324" s="550">
        <f t="shared" si="409"/>
        <v>91603177.785153836</v>
      </c>
      <c r="K324" s="479">
        <f t="shared" si="410"/>
        <v>418730401.238361</v>
      </c>
      <c r="L324" s="544">
        <f t="shared" si="411"/>
        <v>510333579.02351487</v>
      </c>
      <c r="M324" s="552">
        <f t="shared" si="412"/>
        <v>0.16706651157249539</v>
      </c>
      <c r="O324" s="550">
        <f t="shared" si="413"/>
        <v>4834438.3751697186</v>
      </c>
      <c r="P324" s="550">
        <f t="shared" si="414"/>
        <v>83354214.434277654</v>
      </c>
      <c r="Q324" s="479">
        <f t="shared" si="415"/>
        <v>402971875.23651254</v>
      </c>
      <c r="R324" s="543">
        <f t="shared" si="416"/>
        <v>491160528.04595995</v>
      </c>
      <c r="S324" s="551">
        <f t="shared" si="417"/>
        <v>0.16078988217814755</v>
      </c>
      <c r="FA324"/>
    </row>
    <row r="325" spans="2:157">
      <c r="B325" s="486" t="s">
        <v>112</v>
      </c>
      <c r="C325" s="485">
        <v>204</v>
      </c>
      <c r="D325" s="487">
        <v>703030403.16990614</v>
      </c>
      <c r="E325" s="471">
        <v>12609803</v>
      </c>
      <c r="F325" s="479">
        <f t="shared" si="408"/>
        <v>55752.687267985566</v>
      </c>
      <c r="G325" s="487">
        <v>1881381140.53</v>
      </c>
      <c r="H325" s="488">
        <f t="shared" si="418"/>
        <v>5.4989223479929072E-2</v>
      </c>
      <c r="J325" s="550">
        <f t="shared" si="409"/>
        <v>111784303.06191741</v>
      </c>
      <c r="K325" s="479">
        <f t="shared" si="410"/>
        <v>210282180.61419439</v>
      </c>
      <c r="L325" s="544">
        <f t="shared" si="411"/>
        <v>322066483.67611182</v>
      </c>
      <c r="M325" s="552">
        <f t="shared" si="412"/>
        <v>5.7062065865325431E-2</v>
      </c>
      <c r="O325" s="550">
        <f t="shared" si="413"/>
        <v>5923951.3816056158</v>
      </c>
      <c r="P325" s="550">
        <f t="shared" si="414"/>
        <v>101694533.23916128</v>
      </c>
      <c r="Q325" s="479">
        <f t="shared" si="415"/>
        <v>202748579.34181711</v>
      </c>
      <c r="R325" s="543">
        <f t="shared" si="416"/>
        <v>310367063.96258402</v>
      </c>
      <c r="S325" s="551">
        <f t="shared" si="417"/>
        <v>5.4989223479929072E-2</v>
      </c>
      <c r="FA325"/>
    </row>
    <row r="326" spans="2:157">
      <c r="B326" s="486" t="s">
        <v>93</v>
      </c>
      <c r="C326" s="485">
        <v>159</v>
      </c>
      <c r="D326" s="487">
        <v>188502625.05486953</v>
      </c>
      <c r="E326" s="471">
        <v>2744671</v>
      </c>
      <c r="F326" s="479">
        <f t="shared" si="408"/>
        <v>68679.497489815549</v>
      </c>
      <c r="G326" s="487">
        <v>186762077.97</v>
      </c>
      <c r="H326" s="488">
        <f t="shared" si="418"/>
        <v>0.19070221194364156</v>
      </c>
      <c r="J326" s="550">
        <f t="shared" si="409"/>
        <v>10453632.197595073</v>
      </c>
      <c r="K326" s="479">
        <f t="shared" si="410"/>
        <v>100146231.47046107</v>
      </c>
      <c r="L326" s="544">
        <f t="shared" si="411"/>
        <v>110599863.66805615</v>
      </c>
      <c r="M326" s="552">
        <f t="shared" si="412"/>
        <v>0.19739885967967943</v>
      </c>
      <c r="O326" s="550">
        <f t="shared" si="413"/>
        <v>2307787.68990232</v>
      </c>
      <c r="P326" s="550">
        <f t="shared" si="414"/>
        <v>7825289.0898213945</v>
      </c>
      <c r="Q326" s="479">
        <f t="shared" si="415"/>
        <v>96714747.348485842</v>
      </c>
      <c r="R326" s="543">
        <f t="shared" si="416"/>
        <v>106847824.12820956</v>
      </c>
      <c r="S326" s="551">
        <f t="shared" si="417"/>
        <v>0.19070221194364156</v>
      </c>
      <c r="FA326"/>
    </row>
    <row r="327" spans="2:157">
      <c r="B327" s="486" t="s">
        <v>95</v>
      </c>
      <c r="C327" s="485">
        <v>133</v>
      </c>
      <c r="D327" s="487">
        <v>197695473.82503062</v>
      </c>
      <c r="E327" s="471">
        <v>5420411</v>
      </c>
      <c r="F327" s="479">
        <f t="shared" si="408"/>
        <v>36472.413959943377</v>
      </c>
      <c r="G327" s="487">
        <v>240303495.80000001</v>
      </c>
      <c r="H327" s="488">
        <f t="shared" si="418"/>
        <v>0.14851372310939148</v>
      </c>
      <c r="J327" s="550">
        <f t="shared" si="409"/>
        <v>13899414.04521412</v>
      </c>
      <c r="K327" s="479">
        <f t="shared" si="410"/>
        <v>96894146.994911075</v>
      </c>
      <c r="L327" s="544">
        <f t="shared" si="411"/>
        <v>110793561.04012519</v>
      </c>
      <c r="M327" s="552">
        <f t="shared" si="412"/>
        <v>0.15368560032981038</v>
      </c>
      <c r="O327" s="550">
        <f t="shared" si="413"/>
        <v>2655512.8430769234</v>
      </c>
      <c r="P327" s="550">
        <f t="shared" si="414"/>
        <v>10801431.002153445</v>
      </c>
      <c r="Q327" s="479">
        <f t="shared" si="415"/>
        <v>93608156.667149678</v>
      </c>
      <c r="R327" s="543">
        <f t="shared" si="416"/>
        <v>107065100.51238005</v>
      </c>
      <c r="S327" s="551">
        <f t="shared" si="417"/>
        <v>0.14851372310939148</v>
      </c>
      <c r="FA327"/>
    </row>
    <row r="328" spans="2:157">
      <c r="B328" s="486" t="s">
        <v>88</v>
      </c>
      <c r="C328" s="485">
        <v>292</v>
      </c>
      <c r="D328" s="487">
        <v>466276955.65083456</v>
      </c>
      <c r="E328" s="471">
        <v>7102438</v>
      </c>
      <c r="F328" s="479">
        <f t="shared" si="408"/>
        <v>65650.267647649249</v>
      </c>
      <c r="G328" s="487">
        <v>455654312.11000001</v>
      </c>
      <c r="H328" s="488">
        <f t="shared" si="418"/>
        <v>0.11094770017251965</v>
      </c>
      <c r="J328" s="550">
        <f t="shared" si="409"/>
        <v>11932469.19705539</v>
      </c>
      <c r="K328" s="479">
        <f t="shared" si="410"/>
        <v>145136747.87046108</v>
      </c>
      <c r="L328" s="544">
        <f t="shared" si="411"/>
        <v>157069217.06751648</v>
      </c>
      <c r="M328" s="552">
        <f t="shared" si="412"/>
        <v>0.11490378626447134</v>
      </c>
      <c r="O328" s="550">
        <f t="shared" si="413"/>
        <v>2467946.7078070818</v>
      </c>
      <c r="P328" s="550">
        <f t="shared" si="414"/>
        <v>9092074.4320052899</v>
      </c>
      <c r="Q328" s="479">
        <f t="shared" si="415"/>
        <v>140101372.86707553</v>
      </c>
      <c r="R328" s="543">
        <f t="shared" si="416"/>
        <v>151661394.00688791</v>
      </c>
      <c r="S328" s="551">
        <f t="shared" si="417"/>
        <v>0.11094770017251965</v>
      </c>
      <c r="FA328"/>
    </row>
    <row r="329" spans="2:157">
      <c r="B329" s="486" t="s">
        <v>99</v>
      </c>
      <c r="C329" s="485">
        <v>129</v>
      </c>
      <c r="D329" s="487">
        <v>282064377.09639573</v>
      </c>
      <c r="E329" s="471">
        <v>6800180</v>
      </c>
      <c r="F329" s="479">
        <f t="shared" si="408"/>
        <v>41478.957482948354</v>
      </c>
      <c r="G329" s="487">
        <v>732977309.90999997</v>
      </c>
      <c r="H329" s="488">
        <f t="shared" si="418"/>
        <v>5.3157083575223217E-2</v>
      </c>
      <c r="J329" s="550">
        <f t="shared" si="409"/>
        <v>10475245.869674439</v>
      </c>
      <c r="K329" s="479">
        <f t="shared" si="410"/>
        <v>110443940.69648249</v>
      </c>
      <c r="L329" s="544">
        <f t="shared" si="411"/>
        <v>120919186.56615694</v>
      </c>
      <c r="M329" s="552">
        <f t="shared" si="412"/>
        <v>5.4989963505147801E-2</v>
      </c>
      <c r="O329" s="550">
        <f t="shared" si="413"/>
        <v>2020373.3883626375</v>
      </c>
      <c r="P329" s="550">
        <f t="shared" si="414"/>
        <v>8122156.1891291477</v>
      </c>
      <c r="Q329" s="479">
        <f t="shared" si="415"/>
        <v>106746278.78739268</v>
      </c>
      <c r="R329" s="543">
        <f t="shared" si="416"/>
        <v>116888808.36488447</v>
      </c>
      <c r="S329" s="551">
        <f t="shared" si="417"/>
        <v>5.3157083575223217E-2</v>
      </c>
      <c r="FA329"/>
    </row>
    <row r="330" spans="2:157">
      <c r="B330" s="486" t="s">
        <v>87</v>
      </c>
      <c r="C330" s="485">
        <v>184</v>
      </c>
      <c r="D330" s="487">
        <v>233042379.23422903</v>
      </c>
      <c r="E330" s="471">
        <v>4101322</v>
      </c>
      <c r="F330" s="479">
        <f t="shared" si="408"/>
        <v>56821.283292126063</v>
      </c>
      <c r="G330" s="487">
        <v>250344509.37730485</v>
      </c>
      <c r="H330" s="488">
        <f t="shared" si="418"/>
        <v>0.14442265397382431</v>
      </c>
      <c r="J330" s="550">
        <f t="shared" si="409"/>
        <v>10636748.953007771</v>
      </c>
      <c r="K330" s="479">
        <f t="shared" si="410"/>
        <v>101512466.53441107</v>
      </c>
      <c r="L330" s="544">
        <f t="shared" si="411"/>
        <v>112149215.48741885</v>
      </c>
      <c r="M330" s="552">
        <f t="shared" si="412"/>
        <v>0.14932650978495396</v>
      </c>
      <c r="O330" s="550">
        <f t="shared" si="413"/>
        <v>2441202.9240769227</v>
      </c>
      <c r="P330" s="550">
        <f t="shared" si="414"/>
        <v>7873034.7559122089</v>
      </c>
      <c r="Q330" s="479">
        <f t="shared" si="415"/>
        <v>98152017.676146805</v>
      </c>
      <c r="R330" s="543">
        <f t="shared" si="416"/>
        <v>108466255.35613593</v>
      </c>
      <c r="S330" s="551">
        <f t="shared" si="417"/>
        <v>0.14442265397382431</v>
      </c>
      <c r="FA330"/>
    </row>
    <row r="331" spans="2:157">
      <c r="B331" s="486" t="s">
        <v>89</v>
      </c>
      <c r="C331" s="485">
        <v>125</v>
      </c>
      <c r="D331" s="487">
        <v>190306661.47345921</v>
      </c>
      <c r="E331" s="471">
        <v>3407353</v>
      </c>
      <c r="F331" s="479">
        <f t="shared" si="408"/>
        <v>55851.759848028429</v>
      </c>
      <c r="G331" s="487">
        <v>230651364.46000001</v>
      </c>
      <c r="H331" s="488">
        <f t="shared" si="418"/>
        <v>0.13909277093263664</v>
      </c>
      <c r="J331" s="550">
        <f t="shared" si="409"/>
        <v>9027828.8877379298</v>
      </c>
      <c r="K331" s="479">
        <f t="shared" si="410"/>
        <v>90547032.304911062</v>
      </c>
      <c r="L331" s="544">
        <f t="shared" si="411"/>
        <v>99574861.192648992</v>
      </c>
      <c r="M331" s="552">
        <f t="shared" si="412"/>
        <v>0.14390385452632262</v>
      </c>
      <c r="O331" s="550">
        <f t="shared" si="413"/>
        <v>1804326.3134102563</v>
      </c>
      <c r="P331" s="550">
        <f t="shared" si="414"/>
        <v>6939243.1726141116</v>
      </c>
      <c r="Q331" s="479">
        <f t="shared" si="415"/>
        <v>87502242.720380247</v>
      </c>
      <c r="R331" s="543">
        <f t="shared" si="416"/>
        <v>96245812.206404611</v>
      </c>
      <c r="S331" s="551">
        <f t="shared" si="417"/>
        <v>0.13909277093263664</v>
      </c>
      <c r="FA331"/>
    </row>
    <row r="332" spans="2:157">
      <c r="B332" s="486" t="s">
        <v>91</v>
      </c>
      <c r="C332" s="485">
        <v>144</v>
      </c>
      <c r="D332" s="487">
        <v>318485207.02384573</v>
      </c>
      <c r="E332" s="471">
        <v>4297323</v>
      </c>
      <c r="F332" s="479">
        <f t="shared" si="408"/>
        <v>74112.466534129679</v>
      </c>
      <c r="G332" s="487">
        <v>438917210.64999998</v>
      </c>
      <c r="H332" s="488">
        <f t="shared" si="418"/>
        <v>9.5399990347432878E-2</v>
      </c>
      <c r="J332" s="550">
        <f t="shared" si="409"/>
        <v>28238942.971071262</v>
      </c>
      <c r="K332" s="479">
        <f t="shared" si="410"/>
        <v>101892692.55774662</v>
      </c>
      <c r="L332" s="544">
        <f t="shared" si="411"/>
        <v>130131635.52881788</v>
      </c>
      <c r="M332" s="552">
        <f t="shared" si="412"/>
        <v>9.8827776150999511E-2</v>
      </c>
      <c r="O332" s="550">
        <f t="shared" si="413"/>
        <v>1832492.8054737484</v>
      </c>
      <c r="P332" s="550">
        <f t="shared" si="414"/>
        <v>25367303.069266573</v>
      </c>
      <c r="Q332" s="479">
        <f t="shared" si="415"/>
        <v>98418297.103256181</v>
      </c>
      <c r="R332" s="543">
        <f t="shared" si="416"/>
        <v>125618092.9779965</v>
      </c>
      <c r="S332" s="551">
        <f t="shared" si="417"/>
        <v>9.5399990347432878E-2</v>
      </c>
      <c r="FA332"/>
    </row>
    <row r="333" spans="2:157">
      <c r="B333" s="486" t="s">
        <v>100</v>
      </c>
      <c r="C333" s="485">
        <v>99</v>
      </c>
      <c r="D333" s="487">
        <v>281050772.91951811</v>
      </c>
      <c r="E333" s="471">
        <v>4468563</v>
      </c>
      <c r="F333" s="479">
        <f t="shared" si="408"/>
        <v>62895.112571875594</v>
      </c>
      <c r="G333" s="487">
        <v>461427166.99000001</v>
      </c>
      <c r="H333" s="488">
        <f t="shared" si="418"/>
        <v>9.8714779345325132E-2</v>
      </c>
      <c r="J333" s="550">
        <f t="shared" si="409"/>
        <v>30167900.090118878</v>
      </c>
      <c r="K333" s="479">
        <f t="shared" si="410"/>
        <v>111422366.99491106</v>
      </c>
      <c r="L333" s="544">
        <f t="shared" si="411"/>
        <v>141590267.08502993</v>
      </c>
      <c r="M333" s="552">
        <f t="shared" si="412"/>
        <v>0.1022843019904652</v>
      </c>
      <c r="O333" s="550">
        <f t="shared" si="413"/>
        <v>2685399.6388070821</v>
      </c>
      <c r="P333" s="550">
        <f t="shared" si="414"/>
        <v>26401008.605009019</v>
      </c>
      <c r="Q333" s="479">
        <f t="shared" si="415"/>
        <v>107562634.67625295</v>
      </c>
      <c r="R333" s="543">
        <f t="shared" si="416"/>
        <v>136649042.92006904</v>
      </c>
      <c r="S333" s="551">
        <f t="shared" si="417"/>
        <v>9.8714779345325132E-2</v>
      </c>
      <c r="FA333"/>
    </row>
    <row r="334" spans="2:157">
      <c r="B334" s="486" t="s">
        <v>101</v>
      </c>
      <c r="C334" s="485">
        <v>100</v>
      </c>
      <c r="D334" s="487">
        <v>236942098.39434808</v>
      </c>
      <c r="E334" s="471">
        <v>4109571</v>
      </c>
      <c r="F334" s="479">
        <f t="shared" si="408"/>
        <v>57656.163719850098</v>
      </c>
      <c r="G334" s="487">
        <v>333172764.04000002</v>
      </c>
      <c r="H334" s="488">
        <f t="shared" si="418"/>
        <v>0.13755078773087603</v>
      </c>
      <c r="J334" s="550">
        <f t="shared" si="409"/>
        <v>32752231.324737929</v>
      </c>
      <c r="K334" s="479">
        <f t="shared" si="410"/>
        <v>109709383.89991105</v>
      </c>
      <c r="L334" s="544">
        <f t="shared" si="411"/>
        <v>142461615.22464898</v>
      </c>
      <c r="M334" s="552">
        <f t="shared" si="412"/>
        <v>0.1425302731803785</v>
      </c>
      <c r="O334" s="550">
        <f t="shared" si="413"/>
        <v>3223373.9778070822</v>
      </c>
      <c r="P334" s="550">
        <f t="shared" si="414"/>
        <v>28366837.227694593</v>
      </c>
      <c r="Q334" s="479">
        <f t="shared" si="415"/>
        <v>105894317.22702421</v>
      </c>
      <c r="R334" s="543">
        <f t="shared" si="416"/>
        <v>137484528.43252587</v>
      </c>
      <c r="S334" s="551">
        <f t="shared" si="417"/>
        <v>0.13755078773087603</v>
      </c>
      <c r="FA334"/>
    </row>
    <row r="335" spans="2:157">
      <c r="B335" s="486" t="s">
        <v>90</v>
      </c>
      <c r="C335" s="485">
        <v>137</v>
      </c>
      <c r="D335" s="487">
        <v>195782346.18298858</v>
      </c>
      <c r="E335" s="471">
        <v>2429224</v>
      </c>
      <c r="F335" s="479">
        <f t="shared" si="408"/>
        <v>80594.603948828357</v>
      </c>
      <c r="G335" s="487">
        <v>130475588.11</v>
      </c>
      <c r="H335" s="488">
        <f t="shared" si="418"/>
        <v>0.29382117643419198</v>
      </c>
      <c r="J335" s="550">
        <f t="shared" si="409"/>
        <v>27240999.08664269</v>
      </c>
      <c r="K335" s="479">
        <f t="shared" si="410"/>
        <v>91851372.169861063</v>
      </c>
      <c r="L335" s="544">
        <f t="shared" si="411"/>
        <v>119092371.25650376</v>
      </c>
      <c r="M335" s="552">
        <f t="shared" si="412"/>
        <v>0.30425198813461973</v>
      </c>
      <c r="O335" s="550">
        <f t="shared" si="413"/>
        <v>1974213.1980451769</v>
      </c>
      <c r="P335" s="550">
        <f t="shared" si="414"/>
        <v>24272486.881154321</v>
      </c>
      <c r="Q335" s="479">
        <f t="shared" si="415"/>
        <v>88762772.304070309</v>
      </c>
      <c r="R335" s="543">
        <f t="shared" si="416"/>
        <v>115009472.3832698</v>
      </c>
      <c r="S335" s="551">
        <f t="shared" si="417"/>
        <v>0.29382117643419198</v>
      </c>
      <c r="FA335"/>
    </row>
    <row r="336" spans="2:157">
      <c r="B336" s="486" t="s">
        <v>137</v>
      </c>
      <c r="C336" s="485">
        <v>130</v>
      </c>
      <c r="D336" s="487">
        <v>186299891.54903024</v>
      </c>
      <c r="E336" s="471">
        <v>1616867</v>
      </c>
      <c r="F336" s="479">
        <f t="shared" si="408"/>
        <v>115222.76819863987</v>
      </c>
      <c r="G336" s="487">
        <v>227924970.75</v>
      </c>
      <c r="H336" s="488">
        <f t="shared" si="418"/>
        <v>0.14836032828652751</v>
      </c>
      <c r="J336" s="550">
        <f t="shared" si="409"/>
        <v>9303655.8405970708</v>
      </c>
      <c r="K336" s="479">
        <f t="shared" si="410"/>
        <v>95724119.72686106</v>
      </c>
      <c r="L336" s="544">
        <f t="shared" si="411"/>
        <v>105027775.56745812</v>
      </c>
      <c r="M336" s="552">
        <f t="shared" si="412"/>
        <v>0.15359992548111817</v>
      </c>
      <c r="O336" s="550">
        <f t="shared" si="413"/>
        <v>1374688.6038278388</v>
      </c>
      <c r="P336" s="550">
        <f t="shared" si="414"/>
        <v>7616946.3771185754</v>
      </c>
      <c r="Q336" s="479">
        <f t="shared" si="415"/>
        <v>92453435.47455515</v>
      </c>
      <c r="R336" s="543">
        <f t="shared" si="416"/>
        <v>101445070.45550156</v>
      </c>
      <c r="S336" s="551">
        <f t="shared" si="417"/>
        <v>0.14836032828652751</v>
      </c>
      <c r="FA336"/>
    </row>
    <row r="337" spans="1:157">
      <c r="B337" s="486" t="s">
        <v>94</v>
      </c>
      <c r="C337" s="485">
        <v>26</v>
      </c>
      <c r="D337" s="487">
        <v>210945259.58136359</v>
      </c>
      <c r="E337" s="471">
        <v>3256140</v>
      </c>
      <c r="F337" s="479">
        <f t="shared" si="408"/>
        <v>64783.842089518133</v>
      </c>
      <c r="G337" s="483">
        <v>101091392.2250838</v>
      </c>
      <c r="H337" s="488">
        <f t="shared" si="418"/>
        <v>0.41431691191172482</v>
      </c>
      <c r="J337" s="550">
        <f t="shared" si="409"/>
        <v>7322334.6886446886</v>
      </c>
      <c r="K337" s="479">
        <f t="shared" si="410"/>
        <v>122789706.72686106</v>
      </c>
      <c r="L337" s="545">
        <f t="shared" si="411"/>
        <v>130112041.41550575</v>
      </c>
      <c r="M337" s="552">
        <f t="shared" si="412"/>
        <v>0.42902446506294811</v>
      </c>
      <c r="O337" s="550">
        <f t="shared" si="413"/>
        <v>1528748.4995421246</v>
      </c>
      <c r="P337" s="550">
        <f t="shared" si="414"/>
        <v>5565596.8823992964</v>
      </c>
      <c r="Q337" s="479">
        <f t="shared" si="415"/>
        <v>118557274.96071957</v>
      </c>
      <c r="R337" s="543">
        <f t="shared" si="416"/>
        <v>125651620.34266099</v>
      </c>
      <c r="S337" s="551">
        <f t="shared" si="417"/>
        <v>0.41431691191172482</v>
      </c>
      <c r="FA337"/>
    </row>
    <row r="338" spans="1:157">
      <c r="B338" s="486" t="s">
        <v>70</v>
      </c>
      <c r="C338" s="485">
        <v>376</v>
      </c>
      <c r="D338" s="483">
        <v>1461720792.0551991</v>
      </c>
      <c r="E338" s="484">
        <v>11855975</v>
      </c>
      <c r="F338" s="479">
        <f t="shared" si="408"/>
        <v>123289.80046391791</v>
      </c>
      <c r="G338" s="483">
        <v>4290630470.8899999</v>
      </c>
      <c r="H338" s="488">
        <f t="shared" si="418"/>
        <v>2.9636332380955113E-2</v>
      </c>
      <c r="J338" s="550">
        <f t="shared" si="409"/>
        <v>43962815.559523813</v>
      </c>
      <c r="K338" s="479">
        <f t="shared" si="410"/>
        <v>351302262.61060107</v>
      </c>
      <c r="L338" s="545">
        <f t="shared" si="411"/>
        <v>395265078.17012489</v>
      </c>
      <c r="M338" s="552">
        <f t="shared" si="412"/>
        <v>3.0707614405530131E-2</v>
      </c>
      <c r="O338" s="550">
        <f t="shared" si="413"/>
        <v>4423040.6845238097</v>
      </c>
      <c r="P338" s="550">
        <f t="shared" si="414"/>
        <v>37983804.951240063</v>
      </c>
      <c r="Q338" s="479">
        <f t="shared" si="415"/>
        <v>339068806.64168608</v>
      </c>
      <c r="R338" s="543">
        <f t="shared" si="416"/>
        <v>381475652.27744997</v>
      </c>
      <c r="S338" s="551">
        <f t="shared" si="417"/>
        <v>2.9636332380955113E-2</v>
      </c>
      <c r="FA338"/>
    </row>
    <row r="339" spans="1:157" ht="15" thickBot="1">
      <c r="A339" s="67"/>
      <c r="B339" s="482" t="s">
        <v>409</v>
      </c>
      <c r="C339" s="481">
        <v>57</v>
      </c>
      <c r="D339" s="478">
        <v>23688250.846333332</v>
      </c>
      <c r="E339" s="480"/>
      <c r="F339" s="479"/>
      <c r="G339" s="478"/>
      <c r="H339" s="477"/>
      <c r="I339" s="67"/>
      <c r="J339" s="553"/>
      <c r="K339" s="478">
        <f>R267+D267+M267+H267</f>
        <v>2644532.5130000003</v>
      </c>
      <c r="L339" s="546">
        <f t="shared" si="411"/>
        <v>2644532.5130000003</v>
      </c>
      <c r="M339" s="554"/>
      <c r="N339" s="67"/>
      <c r="O339" s="553"/>
      <c r="P339" s="553"/>
      <c r="Q339" s="478">
        <f>V267+G267+Q267+L267</f>
        <v>2603543.6278564977</v>
      </c>
      <c r="R339" s="543">
        <f t="shared" si="416"/>
        <v>2603543.6278564977</v>
      </c>
      <c r="S339" s="554"/>
      <c r="T339" s="67"/>
      <c r="U339" s="67"/>
      <c r="V339" s="67"/>
      <c r="W339" s="67"/>
      <c r="X339" s="67"/>
      <c r="Y339" s="67"/>
      <c r="Z339" s="67"/>
      <c r="AA339" s="67"/>
      <c r="AB339" s="67"/>
      <c r="AC339" s="67"/>
      <c r="AD339" s="67"/>
      <c r="AE339" s="67"/>
      <c r="AF339" s="67"/>
      <c r="AG339" s="67"/>
      <c r="AH339" s="67"/>
      <c r="AI339" s="67"/>
      <c r="AJ339" s="67"/>
      <c r="AK339" s="67"/>
      <c r="AL339" s="67"/>
      <c r="AM339" s="67"/>
      <c r="AN339" s="67"/>
      <c r="AO339" s="67"/>
      <c r="AP339" s="67"/>
      <c r="AQ339" s="67"/>
      <c r="AR339" s="67"/>
      <c r="AS339" s="67"/>
      <c r="AT339" s="67"/>
      <c r="AU339" s="67"/>
      <c r="AV339" s="67"/>
      <c r="AW339" s="67"/>
      <c r="AX339" s="67"/>
      <c r="AY339" s="67"/>
      <c r="AZ339" s="67"/>
      <c r="BA339" s="67"/>
      <c r="BB339" s="67"/>
      <c r="BC339" s="67"/>
      <c r="BD339" s="67"/>
      <c r="BE339" s="67"/>
      <c r="BF339" s="67"/>
      <c r="BG339" s="67"/>
      <c r="BH339" s="67"/>
      <c r="BI339" s="67"/>
      <c r="BJ339" s="67"/>
      <c r="BK339" s="67"/>
      <c r="BL339" s="67"/>
      <c r="BM339" s="67"/>
      <c r="BN339" s="67"/>
      <c r="BO339" s="67"/>
      <c r="BP339" s="67"/>
      <c r="BQ339" s="67"/>
      <c r="BR339" s="67"/>
      <c r="BS339" s="67"/>
      <c r="BT339" s="67"/>
      <c r="BU339" s="67"/>
      <c r="BV339" s="67"/>
      <c r="BW339" s="67"/>
      <c r="BX339" s="67"/>
      <c r="BY339" s="67"/>
      <c r="BZ339" s="67"/>
      <c r="CA339" s="67"/>
      <c r="CB339" s="67"/>
      <c r="CC339" s="67"/>
      <c r="CD339" s="67"/>
      <c r="CE339" s="67"/>
      <c r="CF339" s="67"/>
      <c r="CG339" s="67"/>
      <c r="CH339" s="67"/>
      <c r="CI339" s="67"/>
      <c r="CJ339" s="67"/>
      <c r="CK339" s="67"/>
      <c r="CL339" s="67"/>
      <c r="CM339" s="67"/>
      <c r="CN339" s="67"/>
      <c r="CO339" s="67"/>
      <c r="CP339" s="67"/>
      <c r="CQ339" s="67"/>
      <c r="CR339" s="67"/>
      <c r="CS339" s="67"/>
      <c r="CT339" s="67"/>
      <c r="CU339" s="67"/>
      <c r="CV339" s="67"/>
      <c r="CW339" s="67"/>
      <c r="CX339" s="67"/>
      <c r="CY339" s="67"/>
      <c r="CZ339" s="67"/>
      <c r="DA339" s="67"/>
      <c r="DB339" s="67"/>
      <c r="DC339" s="67"/>
      <c r="DD339" s="67"/>
      <c r="DE339" s="67"/>
      <c r="DF339" s="67"/>
      <c r="DG339" s="67"/>
      <c r="DH339" s="67"/>
      <c r="DI339" s="67"/>
      <c r="DJ339" s="67"/>
      <c r="DK339" s="67"/>
      <c r="DL339" s="67"/>
      <c r="DM339" s="67"/>
      <c r="DN339" s="67"/>
      <c r="DO339" s="67"/>
      <c r="DP339" s="67"/>
      <c r="DQ339" s="67"/>
      <c r="DR339" s="67"/>
      <c r="DS339" s="67"/>
      <c r="DT339" s="67"/>
      <c r="DU339" s="67"/>
      <c r="DV339" s="67"/>
      <c r="DW339" s="67"/>
      <c r="DX339" s="67"/>
      <c r="DY339" s="67"/>
      <c r="DZ339" s="67"/>
      <c r="EA339" s="67"/>
      <c r="EB339" s="67"/>
      <c r="EC339" s="67"/>
      <c r="ED339" s="67"/>
      <c r="EE339" s="67"/>
      <c r="EF339" s="67"/>
      <c r="EG339" s="67"/>
      <c r="EH339" s="67"/>
      <c r="EI339" s="67"/>
      <c r="EJ339" s="67"/>
      <c r="EK339" s="67"/>
      <c r="EL339" s="67"/>
      <c r="EM339" s="67"/>
      <c r="EN339" s="67"/>
      <c r="EO339" s="67"/>
      <c r="EP339" s="67"/>
      <c r="EQ339" s="67"/>
      <c r="ER339" s="67"/>
      <c r="ES339" s="67"/>
      <c r="ET339" s="67"/>
      <c r="EU339" s="67"/>
      <c r="EV339" s="67"/>
      <c r="EW339" s="67"/>
      <c r="EX339" s="67"/>
      <c r="EY339" s="67"/>
      <c r="EZ339" s="67"/>
    </row>
    <row r="340" spans="1:157" ht="15.6" thickTop="1" thickBot="1">
      <c r="B340" s="476" t="s">
        <v>202</v>
      </c>
      <c r="C340" s="475" t="s">
        <v>830</v>
      </c>
      <c r="D340" s="473">
        <f>SUM(D322:D339)</f>
        <v>6993266831.6597681</v>
      </c>
      <c r="E340" s="474">
        <v>92335113</v>
      </c>
      <c r="F340" s="473">
        <f>D340/E340*1000</f>
        <v>75737.892167411628</v>
      </c>
      <c r="G340" s="473">
        <v>11548191402.098953</v>
      </c>
      <c r="H340" s="472">
        <f>(R346)/G340</f>
        <v>8.1725295950039509E-2</v>
      </c>
      <c r="J340" s="555"/>
      <c r="K340" s="473"/>
      <c r="L340" s="473"/>
      <c r="M340" s="556"/>
      <c r="O340" s="555"/>
      <c r="P340" s="555"/>
      <c r="Q340" s="473"/>
      <c r="R340" s="473"/>
      <c r="S340" s="556"/>
      <c r="FA340"/>
    </row>
    <row r="341" spans="1:157">
      <c r="J341" s="548">
        <f>SUM(J322:J339)</f>
        <v>475991496.18566662</v>
      </c>
      <c r="K341" s="548">
        <f>SUM(K322:K339)</f>
        <v>2458031786.1048083</v>
      </c>
      <c r="L341" s="547">
        <f>SUM(L322:L339)</f>
        <v>2934023282.2904749</v>
      </c>
      <c r="M341" s="493"/>
      <c r="O341" s="548">
        <f>SUM(O322:O339)</f>
        <v>46446933.179000005</v>
      </c>
      <c r="P341" s="548">
        <f>SUM(P322:P339)</f>
        <v>412641117.72742796</v>
      </c>
      <c r="Q341" s="548">
        <f>SUM(Q322:Q339)</f>
        <v>2372250029.1662884</v>
      </c>
      <c r="R341" s="547">
        <f>SUM(R322:R339)</f>
        <v>2831338080.0727162</v>
      </c>
      <c r="S341" s="493"/>
      <c r="FA341"/>
    </row>
    <row r="342" spans="1:157" ht="15" thickBot="1">
      <c r="D342" s="645">
        <f>AE286</f>
        <v>6993266831.6597672</v>
      </c>
      <c r="L342" s="291"/>
    </row>
    <row r="343" spans="1:157">
      <c r="D343" s="646" t="str">
        <f>IF(D342=D340, "Tallies", "DOES NOT tally")</f>
        <v>Tallies</v>
      </c>
      <c r="E343" s="652" t="s">
        <v>848</v>
      </c>
      <c r="F343" s="648">
        <f>MAX(F322:F338)</f>
        <v>134191.32291275606</v>
      </c>
      <c r="G343" s="648">
        <f>MAX(G322:G338)</f>
        <v>4290630470.8899999</v>
      </c>
      <c r="H343" s="649">
        <f>MAX(H322:H338)</f>
        <v>0.41431691191172482</v>
      </c>
      <c r="L343" s="291" t="e">
        <f>SUM('Summary Tables &amp; Charts'!$E$135:$H$135)</f>
        <v>#REF!</v>
      </c>
    </row>
    <row r="344" spans="1:157" ht="15" thickBot="1">
      <c r="E344" s="653" t="s">
        <v>849</v>
      </c>
      <c r="F344" s="650">
        <f>MIN(F322:F338)</f>
        <v>36472.413959943377</v>
      </c>
      <c r="G344" s="650">
        <f>MIN(G322:G338)</f>
        <v>101091392.2250838</v>
      </c>
      <c r="H344" s="651">
        <f>MIN(H322:H338)</f>
        <v>2.9636332380955113E-2</v>
      </c>
      <c r="L344" s="372" t="e">
        <f>IF(L343=L341, "Tallies with 2013-2016 Costs", "DOES NOT tally")</f>
        <v>#REF!</v>
      </c>
    </row>
    <row r="345" spans="1:157" ht="15" thickBot="1">
      <c r="D345" s="291"/>
      <c r="E345" s="647"/>
      <c r="Q345" t="s">
        <v>846</v>
      </c>
      <c r="AB345" s="291"/>
    </row>
    <row r="346" spans="1:157" ht="43.8" thickBot="1">
      <c r="D346" s="372"/>
      <c r="K346" s="615" t="s">
        <v>806</v>
      </c>
      <c r="L346" s="614">
        <f>L341/3</f>
        <v>978007760.76349163</v>
      </c>
      <c r="Q346" s="615" t="s">
        <v>806</v>
      </c>
      <c r="R346" s="614">
        <f>R341/3</f>
        <v>943779360.02423871</v>
      </c>
    </row>
    <row r="347" spans="1:157">
      <c r="J347" s="370"/>
    </row>
    <row r="348" spans="1:157">
      <c r="J348" s="370"/>
    </row>
    <row r="349" spans="1:157">
      <c r="J349" s="370"/>
    </row>
    <row r="350" spans="1:157">
      <c r="J350" s="370"/>
    </row>
    <row r="351" spans="1:157">
      <c r="J351" s="370"/>
    </row>
    <row r="352" spans="1:157">
      <c r="J352" s="370"/>
    </row>
    <row r="353" spans="5:10" customFormat="1">
      <c r="E353" s="462"/>
      <c r="J353" s="370"/>
    </row>
    <row r="354" spans="5:10" customFormat="1">
      <c r="E354" s="462"/>
      <c r="J354" s="370"/>
    </row>
    <row r="355" spans="5:10" customFormat="1" hidden="1">
      <c r="E355" s="462"/>
    </row>
    <row r="356" spans="5:10" customFormat="1" hidden="1">
      <c r="E356" s="462"/>
    </row>
    <row r="357" spans="5:10" customFormat="1" hidden="1">
      <c r="E357" s="462"/>
    </row>
    <row r="358" spans="5:10" customFormat="1" hidden="1">
      <c r="E358" s="462"/>
    </row>
    <row r="359" spans="5:10" customFormat="1" hidden="1">
      <c r="E359" s="462"/>
    </row>
    <row r="360" spans="5:10" customFormat="1" hidden="1">
      <c r="E360" s="462"/>
    </row>
    <row r="361" spans="5:10" customFormat="1" hidden="1">
      <c r="E361" s="462"/>
    </row>
    <row r="362" spans="5:10" customFormat="1" hidden="1">
      <c r="E362" s="462"/>
    </row>
    <row r="363" spans="5:10" customFormat="1" hidden="1">
      <c r="E363" s="462"/>
    </row>
    <row r="364" spans="5:10" customFormat="1" hidden="1">
      <c r="E364" s="462"/>
    </row>
    <row r="365" spans="5:10" customFormat="1">
      <c r="E365" s="462"/>
    </row>
    <row r="366" spans="5:10" customFormat="1">
      <c r="E366" s="462"/>
    </row>
    <row r="367" spans="5:10" customFormat="1">
      <c r="E367" s="462"/>
    </row>
    <row r="368" spans="5:10" customFormat="1">
      <c r="E368" s="462"/>
    </row>
    <row r="369" spans="5:5" customFormat="1">
      <c r="E369" s="462"/>
    </row>
    <row r="370" spans="5:5" customFormat="1">
      <c r="E370" s="462"/>
    </row>
    <row r="371" spans="5:5" customFormat="1">
      <c r="E371" s="462"/>
    </row>
    <row r="372" spans="5:5" customFormat="1">
      <c r="E372" s="462"/>
    </row>
    <row r="373" spans="5:5" customFormat="1">
      <c r="E373" s="462"/>
    </row>
    <row r="374" spans="5:5" customFormat="1">
      <c r="E374" s="462"/>
    </row>
    <row r="375" spans="5:5" customFormat="1">
      <c r="E375" s="462"/>
    </row>
    <row r="376" spans="5:5" customFormat="1">
      <c r="E376" s="462"/>
    </row>
    <row r="377" spans="5:5" customFormat="1">
      <c r="E377" s="462"/>
    </row>
    <row r="378" spans="5:5" customFormat="1">
      <c r="E378" s="462"/>
    </row>
    <row r="379" spans="5:5" customFormat="1">
      <c r="E379" s="462"/>
    </row>
    <row r="380" spans="5:5" customFormat="1">
      <c r="E380" s="462"/>
    </row>
    <row r="381" spans="5:5" customFormat="1">
      <c r="E381" s="462"/>
    </row>
    <row r="382" spans="5:5" customFormat="1">
      <c r="E382" s="462"/>
    </row>
    <row r="383" spans="5:5" customFormat="1">
      <c r="E383" s="462"/>
    </row>
    <row r="384" spans="5:5" customFormat="1">
      <c r="E384" s="462"/>
    </row>
    <row r="385" spans="5:5" customFormat="1">
      <c r="E385" s="462"/>
    </row>
    <row r="386" spans="5:5" customFormat="1">
      <c r="E386" s="462"/>
    </row>
    <row r="387" spans="5:5" customFormat="1">
      <c r="E387" s="462"/>
    </row>
    <row r="388" spans="5:5" customFormat="1">
      <c r="E388" s="462"/>
    </row>
    <row r="389" spans="5:5" customFormat="1">
      <c r="E389" s="462"/>
    </row>
    <row r="390" spans="5:5" customFormat="1">
      <c r="E390" s="462"/>
    </row>
    <row r="391" spans="5:5" customFormat="1">
      <c r="E391" s="462"/>
    </row>
    <row r="392" spans="5:5" customFormat="1">
      <c r="E392" s="462"/>
    </row>
    <row r="393" spans="5:5" customFormat="1">
      <c r="E393" s="462"/>
    </row>
    <row r="394" spans="5:5" customFormat="1">
      <c r="E394" s="462"/>
    </row>
    <row r="395" spans="5:5" customFormat="1">
      <c r="E395" s="462"/>
    </row>
    <row r="396" spans="5:5" customFormat="1">
      <c r="E396" s="462"/>
    </row>
    <row r="397" spans="5:5" customFormat="1">
      <c r="E397" s="462"/>
    </row>
    <row r="398" spans="5:5" customFormat="1">
      <c r="E398" s="462"/>
    </row>
    <row r="399" spans="5:5" customFormat="1">
      <c r="E399" s="462"/>
    </row>
    <row r="400" spans="5:5" customFormat="1">
      <c r="E400" s="462"/>
    </row>
    <row r="401" spans="5:5" customFormat="1">
      <c r="E401" s="462"/>
    </row>
    <row r="402" spans="5:5" customFormat="1">
      <c r="E402" s="462"/>
    </row>
    <row r="403" spans="5:5" customFormat="1">
      <c r="E403" s="462"/>
    </row>
    <row r="404" spans="5:5" customFormat="1">
      <c r="E404" s="462"/>
    </row>
    <row r="405" spans="5:5" customFormat="1">
      <c r="E405" s="462"/>
    </row>
    <row r="406" spans="5:5" customFormat="1">
      <c r="E406" s="462"/>
    </row>
    <row r="407" spans="5:5" customFormat="1">
      <c r="E407" s="462"/>
    </row>
    <row r="408" spans="5:5" customFormat="1">
      <c r="E408" s="462"/>
    </row>
    <row r="409" spans="5:5" customFormat="1">
      <c r="E409" s="462"/>
    </row>
    <row r="410" spans="5:5" customFormat="1">
      <c r="E410" s="462"/>
    </row>
    <row r="411" spans="5:5" customFormat="1">
      <c r="E411" s="462"/>
    </row>
    <row r="412" spans="5:5" customFormat="1">
      <c r="E412" s="462"/>
    </row>
    <row r="413" spans="5:5" customFormat="1">
      <c r="E413" s="462"/>
    </row>
    <row r="414" spans="5:5" customFormat="1">
      <c r="E414" s="462"/>
    </row>
    <row r="415" spans="5:5" customFormat="1">
      <c r="E415" s="462"/>
    </row>
    <row r="416" spans="5:5" customFormat="1">
      <c r="E416" s="462"/>
    </row>
    <row r="417" spans="5:5" customFormat="1">
      <c r="E417" s="462"/>
    </row>
    <row r="418" spans="5:5" customFormat="1">
      <c r="E418" s="462"/>
    </row>
    <row r="419" spans="5:5" customFormat="1">
      <c r="E419" s="462"/>
    </row>
    <row r="420" spans="5:5" customFormat="1">
      <c r="E420" s="462"/>
    </row>
    <row r="421" spans="5:5" customFormat="1">
      <c r="E421" s="462"/>
    </row>
    <row r="422" spans="5:5" customFormat="1">
      <c r="E422" s="462"/>
    </row>
    <row r="423" spans="5:5" customFormat="1">
      <c r="E423" s="462"/>
    </row>
    <row r="424" spans="5:5" customFormat="1">
      <c r="E424" s="462"/>
    </row>
    <row r="425" spans="5:5" customFormat="1">
      <c r="E425" s="462"/>
    </row>
    <row r="426" spans="5:5" customFormat="1" hidden="1">
      <c r="E426" s="462"/>
    </row>
    <row r="427" spans="5:5" customFormat="1" hidden="1">
      <c r="E427" s="462"/>
    </row>
    <row r="428" spans="5:5" customFormat="1" hidden="1">
      <c r="E428" s="462"/>
    </row>
    <row r="429" spans="5:5" customFormat="1" hidden="1">
      <c r="E429" s="462"/>
    </row>
    <row r="430" spans="5:5" customFormat="1" hidden="1">
      <c r="E430" s="462"/>
    </row>
    <row r="431" spans="5:5" customFormat="1" hidden="1">
      <c r="E431" s="462"/>
    </row>
    <row r="432" spans="5:5" customFormat="1" hidden="1">
      <c r="E432" s="462"/>
    </row>
    <row r="433" spans="5:5" customFormat="1" hidden="1">
      <c r="E433" s="462"/>
    </row>
    <row r="434" spans="5:5" customFormat="1" hidden="1">
      <c r="E434" s="462"/>
    </row>
    <row r="435" spans="5:5" customFormat="1" hidden="1">
      <c r="E435" s="462"/>
    </row>
    <row r="436" spans="5:5" customFormat="1" hidden="1">
      <c r="E436" s="462"/>
    </row>
  </sheetData>
  <mergeCells count="1">
    <mergeCell ref="O320:P320"/>
  </mergeCells>
  <conditionalFormatting sqref="C216:EC216 C236:EC236">
    <cfRule type="containsText" dxfId="25" priority="24" operator="containsText" text="Inconsistent">
      <formula>NOT(ISERROR(SEARCH("Inconsistent",C216)))</formula>
    </cfRule>
    <cfRule type="containsText" dxfId="24" priority="25" operator="containsText" text="Consistent">
      <formula>NOT(ISERROR(SEARCH("Consistent",C216)))</formula>
    </cfRule>
  </conditionalFormatting>
  <conditionalFormatting sqref="ED216:EI216 ED236:EI236">
    <cfRule type="containsText" dxfId="23" priority="22" operator="containsText" text="Inconsistent">
      <formula>NOT(ISERROR(SEARCH("Inconsistent",ED216)))</formula>
    </cfRule>
    <cfRule type="containsText" dxfId="22" priority="23" operator="containsText" text="Consistent">
      <formula>NOT(ISERROR(SEARCH("Consistent",ED216)))</formula>
    </cfRule>
  </conditionalFormatting>
  <conditionalFormatting sqref="I131:I141">
    <cfRule type="duplicateValues" dxfId="21" priority="17"/>
  </conditionalFormatting>
  <conditionalFormatting sqref="I17:I44 I11">
    <cfRule type="duplicateValues" dxfId="20" priority="18"/>
  </conditionalFormatting>
  <conditionalFormatting sqref="I97:I130">
    <cfRule type="duplicateValues" dxfId="19" priority="19"/>
  </conditionalFormatting>
  <conditionalFormatting sqref="I45:I96 I12:I15 I5:I10">
    <cfRule type="duplicateValues" dxfId="18" priority="20"/>
  </conditionalFormatting>
  <conditionalFormatting sqref="I5:I141">
    <cfRule type="duplicateValues" dxfId="17" priority="21"/>
  </conditionalFormatting>
  <conditionalFormatting sqref="F5:H141">
    <cfRule type="duplicateValues" dxfId="16" priority="26"/>
  </conditionalFormatting>
  <conditionalFormatting sqref="CS150:EB150">
    <cfRule type="duplicateValues" dxfId="15" priority="12"/>
  </conditionalFormatting>
  <conditionalFormatting sqref="F150:AI150">
    <cfRule type="duplicateValues" dxfId="14" priority="13"/>
  </conditionalFormatting>
  <conditionalFormatting sqref="EC150">
    <cfRule type="duplicateValues" dxfId="13" priority="14"/>
  </conditionalFormatting>
  <conditionalFormatting sqref="AJ150:CR150">
    <cfRule type="duplicateValues" dxfId="12" priority="15"/>
  </conditionalFormatting>
  <conditionalFormatting sqref="C150:EC150">
    <cfRule type="duplicateValues" dxfId="11" priority="16"/>
  </conditionalFormatting>
  <conditionalFormatting sqref="C256:EI256">
    <cfRule type="containsText" dxfId="10" priority="10" operator="containsText" text="Inconsistent">
      <formula>NOT(ISERROR(SEARCH("Inconsistent",C256)))</formula>
    </cfRule>
    <cfRule type="containsText" dxfId="9" priority="11" operator="containsText" text="Consistent">
      <formula>NOT(ISERROR(SEARCH("Consistent",C256)))</formula>
    </cfRule>
  </conditionalFormatting>
  <conditionalFormatting sqref="ED256:EI256">
    <cfRule type="containsText" dxfId="8" priority="8" operator="containsText" text="Inconsistent">
      <formula>NOT(ISERROR(SEARCH("Inconsistent",ED256)))</formula>
    </cfRule>
    <cfRule type="containsText" dxfId="7" priority="9" operator="containsText" text="Consistent">
      <formula>NOT(ISERROR(SEARCH("Consistent",ED256)))</formula>
    </cfRule>
  </conditionalFormatting>
  <conditionalFormatting sqref="C195:EI195">
    <cfRule type="containsText" dxfId="6" priority="6" operator="containsText" text="Inconsistent">
      <formula>NOT(ISERROR(SEARCH("Inconsistent",C195)))</formula>
    </cfRule>
    <cfRule type="containsText" dxfId="5" priority="7" operator="containsText" text="Consistent">
      <formula>NOT(ISERROR(SEARCH("Consistent",C195)))</formula>
    </cfRule>
  </conditionalFormatting>
  <conditionalFormatting sqref="ED195:EI195">
    <cfRule type="containsText" dxfId="4" priority="4" operator="containsText" text="Inconsistent">
      <formula>NOT(ISERROR(SEARCH("Inconsistent",ED195)))</formula>
    </cfRule>
    <cfRule type="containsText" dxfId="3" priority="5" operator="containsText" text="Consistent">
      <formula>NOT(ISERROR(SEARCH("Consistent",ED195)))</formula>
    </cfRule>
  </conditionalFormatting>
  <conditionalFormatting sqref="H343:H344 H322:H338">
    <cfRule type="duplicateValues" dxfId="2" priority="3"/>
  </conditionalFormatting>
  <conditionalFormatting sqref="G322:G338 G343:G344">
    <cfRule type="duplicateValues" dxfId="1" priority="2"/>
  </conditionalFormatting>
  <conditionalFormatting sqref="F343:F344 F322:F338">
    <cfRule type="duplicateValues" dxfId="0" priority="1"/>
  </conditionalFormatting>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385"/>
  <sheetViews>
    <sheetView showGridLines="0" topLeftCell="A338" zoomScale="70" zoomScaleNormal="70" workbookViewId="0">
      <pane xSplit="2" topLeftCell="C1" activePane="topRight" state="frozen"/>
      <selection activeCell="J23" sqref="J23"/>
      <selection pane="topRight" activeCell="C262" sqref="C262"/>
    </sheetView>
  </sheetViews>
  <sheetFormatPr defaultColWidth="0" defaultRowHeight="14.4" zeroHeight="1"/>
  <cols>
    <col min="1" max="1" width="8.88671875" customWidth="1"/>
    <col min="2" max="2" width="24" customWidth="1"/>
    <col min="3" max="3" width="11.5546875" customWidth="1"/>
    <col min="4" max="4" width="21.109375" customWidth="1"/>
    <col min="5" max="5" width="27.6640625" customWidth="1"/>
    <col min="6" max="6" width="21.109375" customWidth="1"/>
    <col min="7" max="7" width="28.88671875" customWidth="1"/>
    <col min="8" max="8" width="22.5546875" customWidth="1"/>
    <col min="9" max="9" width="18" customWidth="1"/>
    <col min="10" max="10" width="19.109375" customWidth="1"/>
    <col min="11" max="11" width="18.5546875" customWidth="1"/>
    <col min="12" max="12" width="21.109375" customWidth="1"/>
    <col min="13" max="13" width="27.44140625" customWidth="1"/>
    <col min="14" max="14" width="20" customWidth="1"/>
    <col min="15" max="15" width="19.33203125" customWidth="1"/>
    <col min="16" max="18" width="17.109375" customWidth="1"/>
    <col min="19" max="21" width="17.88671875" customWidth="1"/>
    <col min="22" max="23" width="22.6640625" customWidth="1"/>
    <col min="24" max="16384" width="8.88671875" hidden="1"/>
  </cols>
  <sheetData>
    <row r="1" spans="2:13">
      <c r="C1" s="291">
        <f>SUM(C5:C7)</f>
        <v>309</v>
      </c>
      <c r="D1" s="291">
        <f>SUM(D5:D7)</f>
        <v>2560436721.3528042</v>
      </c>
      <c r="G1" s="291">
        <f>SUM(G5:G7)</f>
        <v>238116696.38891882</v>
      </c>
      <c r="H1" s="291">
        <f>SUM(H5:H7)</f>
        <v>305947417.89553189</v>
      </c>
      <c r="I1" s="291">
        <f>SUM(I5:I7)</f>
        <v>502184806.69669729</v>
      </c>
      <c r="J1" s="291">
        <f>SUM(J5:J7)</f>
        <v>429245746.30279595</v>
      </c>
    </row>
    <row r="2" spans="2:13">
      <c r="C2" s="291">
        <f>C1/17</f>
        <v>18.176470588235293</v>
      </c>
      <c r="D2" s="291">
        <f>D1/17</f>
        <v>150613924.78545907</v>
      </c>
      <c r="G2" s="291">
        <f>G1/17</f>
        <v>14006864.493465813</v>
      </c>
      <c r="H2" s="291">
        <f>H1/17</f>
        <v>17996906.935031287</v>
      </c>
      <c r="I2" s="291">
        <f>I1/17</f>
        <v>29540282.746864546</v>
      </c>
      <c r="J2" s="291">
        <f>J1/17</f>
        <v>25249749.782517407</v>
      </c>
    </row>
    <row r="3" spans="2:13" ht="18" thickBot="1">
      <c r="B3" s="292" t="s">
        <v>587</v>
      </c>
    </row>
    <row r="4" spans="2:13" ht="47.4" customHeight="1">
      <c r="B4" s="271" t="s">
        <v>572</v>
      </c>
      <c r="C4" s="272" t="s">
        <v>240</v>
      </c>
      <c r="D4" s="270" t="s">
        <v>582</v>
      </c>
      <c r="E4" s="270" t="s">
        <v>583</v>
      </c>
      <c r="F4" s="270" t="s">
        <v>584</v>
      </c>
      <c r="G4" s="270">
        <v>2013</v>
      </c>
      <c r="H4" s="270">
        <v>2014</v>
      </c>
      <c r="I4" s="270">
        <v>2015</v>
      </c>
      <c r="J4" s="270">
        <v>2016</v>
      </c>
      <c r="K4" s="270" t="s">
        <v>588</v>
      </c>
      <c r="L4" s="270" t="s">
        <v>585</v>
      </c>
      <c r="M4" s="72" t="s">
        <v>586</v>
      </c>
    </row>
    <row r="5" spans="2:13" ht="17.399999999999999" customHeight="1">
      <c r="B5" s="257" t="s">
        <v>14</v>
      </c>
      <c r="C5" s="258">
        <v>168</v>
      </c>
      <c r="D5" s="267">
        <v>1675871622.032804</v>
      </c>
      <c r="E5" s="267">
        <v>92335113</v>
      </c>
      <c r="F5" s="267">
        <v>18149.884346086237</v>
      </c>
      <c r="G5" s="267">
        <v>192307128.44891882</v>
      </c>
      <c r="H5" s="267">
        <v>256699320.42553189</v>
      </c>
      <c r="I5" s="267">
        <v>353727451.69669729</v>
      </c>
      <c r="J5" s="267">
        <v>278729839.40279597</v>
      </c>
      <c r="K5" s="267">
        <f t="shared" ref="K5:K24" si="0">AVERAGE(G5:J5)</f>
        <v>270365934.99348599</v>
      </c>
      <c r="L5" s="267">
        <v>11548191402.098953</v>
      </c>
      <c r="M5" s="287">
        <f>K5/L5</f>
        <v>2.3411972107108076E-2</v>
      </c>
    </row>
    <row r="6" spans="2:13" ht="17.399999999999999" customHeight="1">
      <c r="B6" s="257" t="s">
        <v>573</v>
      </c>
      <c r="C6" s="258">
        <v>121</v>
      </c>
      <c r="D6" s="267">
        <v>864707646.8269999</v>
      </c>
      <c r="E6" s="267" t="s">
        <v>571</v>
      </c>
      <c r="F6" s="267" t="s">
        <v>571</v>
      </c>
      <c r="G6" s="267">
        <v>38990318.939999998</v>
      </c>
      <c r="H6" s="267">
        <v>44066236.469999999</v>
      </c>
      <c r="I6" s="267">
        <v>144622757</v>
      </c>
      <c r="J6" s="267">
        <v>146564866.40700001</v>
      </c>
      <c r="K6" s="267">
        <f t="shared" si="0"/>
        <v>93561044.704250008</v>
      </c>
      <c r="L6" s="285" t="s">
        <v>571</v>
      </c>
      <c r="M6" s="289" t="s">
        <v>571</v>
      </c>
    </row>
    <row r="7" spans="2:13" ht="17.399999999999999" customHeight="1">
      <c r="B7" s="257" t="s">
        <v>409</v>
      </c>
      <c r="C7" s="258">
        <v>20</v>
      </c>
      <c r="D7" s="267">
        <v>19857452.493000001</v>
      </c>
      <c r="E7" s="267" t="s">
        <v>571</v>
      </c>
      <c r="F7" s="267" t="s">
        <v>571</v>
      </c>
      <c r="G7" s="267">
        <v>6819249</v>
      </c>
      <c r="H7" s="267">
        <v>5181861</v>
      </c>
      <c r="I7" s="267">
        <v>3834598</v>
      </c>
      <c r="J7" s="267">
        <v>3951040.4929999998</v>
      </c>
      <c r="K7" s="267">
        <f t="shared" si="0"/>
        <v>4946687.1232500002</v>
      </c>
      <c r="L7" s="285" t="s">
        <v>571</v>
      </c>
      <c r="M7" s="289" t="s">
        <v>571</v>
      </c>
    </row>
    <row r="8" spans="2:13" ht="17.399999999999999" customHeight="1">
      <c r="B8" s="219" t="s">
        <v>97</v>
      </c>
      <c r="C8" s="155">
        <v>150</v>
      </c>
      <c r="D8" s="268">
        <v>783616006.51380002</v>
      </c>
      <c r="E8" s="268">
        <v>10137737</v>
      </c>
      <c r="F8" s="268">
        <v>77296.93584611635</v>
      </c>
      <c r="G8" s="268">
        <v>4943381</v>
      </c>
      <c r="H8" s="268">
        <v>58855058.313000001</v>
      </c>
      <c r="I8" s="268">
        <v>83079599</v>
      </c>
      <c r="J8" s="268">
        <v>169355066.2008</v>
      </c>
      <c r="K8" s="268">
        <f t="shared" si="0"/>
        <v>79058276.128450006</v>
      </c>
      <c r="L8" s="268">
        <v>1018224367.0906494</v>
      </c>
      <c r="M8" s="286">
        <f t="shared" ref="M8:M24" si="1">K8/L8</f>
        <v>7.7643276554401786E-2</v>
      </c>
    </row>
    <row r="9" spans="2:13" ht="17.399999999999999" customHeight="1">
      <c r="B9" s="219" t="s">
        <v>88</v>
      </c>
      <c r="C9" s="155">
        <v>219</v>
      </c>
      <c r="D9" s="268">
        <v>645904758.14340997</v>
      </c>
      <c r="E9" s="268">
        <v>7102438</v>
      </c>
      <c r="F9" s="268">
        <v>90941.273706776454</v>
      </c>
      <c r="G9" s="268">
        <v>2360798.5204799999</v>
      </c>
      <c r="H9" s="268">
        <v>14658291.688990001</v>
      </c>
      <c r="I9" s="268">
        <v>10090253.833939999</v>
      </c>
      <c r="J9" s="268">
        <v>37444535</v>
      </c>
      <c r="K9" s="268">
        <f t="shared" si="0"/>
        <v>16138469.760852501</v>
      </c>
      <c r="L9" s="268">
        <v>455654312.1101864</v>
      </c>
      <c r="M9" s="286">
        <f t="shared" si="1"/>
        <v>3.5418231172033535E-2</v>
      </c>
    </row>
    <row r="10" spans="2:13" ht="17.399999999999999" customHeight="1">
      <c r="B10" s="219" t="s">
        <v>112</v>
      </c>
      <c r="C10" s="155">
        <v>147</v>
      </c>
      <c r="D10" s="268">
        <v>305113156.72333336</v>
      </c>
      <c r="E10" s="268">
        <v>12609803</v>
      </c>
      <c r="F10" s="268">
        <v>24196.504634000499</v>
      </c>
      <c r="G10" s="268">
        <v>6685469.8499999996</v>
      </c>
      <c r="H10" s="268">
        <v>54085457.993333332</v>
      </c>
      <c r="I10" s="268">
        <v>82482502.049999997</v>
      </c>
      <c r="J10" s="268">
        <v>74431366.609999999</v>
      </c>
      <c r="K10" s="268">
        <f t="shared" si="0"/>
        <v>54421199.125833333</v>
      </c>
      <c r="L10" s="268">
        <v>1881381140.5255404</v>
      </c>
      <c r="M10" s="286">
        <f t="shared" si="1"/>
        <v>2.8926195736516978E-2</v>
      </c>
    </row>
    <row r="11" spans="2:13" ht="17.399999999999999" customHeight="1">
      <c r="B11" s="219" t="s">
        <v>92</v>
      </c>
      <c r="C11" s="155">
        <v>91</v>
      </c>
      <c r="D11" s="268">
        <v>53416840.379349992</v>
      </c>
      <c r="E11" s="268">
        <v>3229163</v>
      </c>
      <c r="F11" s="268">
        <v>16542.008061949797</v>
      </c>
      <c r="G11" s="268">
        <v>2338568.86</v>
      </c>
      <c r="H11" s="268">
        <v>4215162.8</v>
      </c>
      <c r="I11" s="268">
        <v>3526405</v>
      </c>
      <c r="J11" s="268">
        <v>9309006.719349999</v>
      </c>
      <c r="K11" s="268">
        <f t="shared" si="0"/>
        <v>4847285.8448374998</v>
      </c>
      <c r="L11" s="268">
        <v>208546726.68205774</v>
      </c>
      <c r="M11" s="286">
        <f t="shared" si="1"/>
        <v>2.3243164359167737E-2</v>
      </c>
    </row>
    <row r="12" spans="2:13" ht="17.399999999999999" customHeight="1">
      <c r="B12" s="219" t="s">
        <v>93</v>
      </c>
      <c r="C12" s="155">
        <v>109</v>
      </c>
      <c r="D12" s="268">
        <v>34750919.108999997</v>
      </c>
      <c r="E12" s="268">
        <v>2744671</v>
      </c>
      <c r="F12" s="268">
        <v>12661.233025378997</v>
      </c>
      <c r="G12" s="268">
        <v>946992</v>
      </c>
      <c r="H12" s="268">
        <v>3540039</v>
      </c>
      <c r="I12" s="268">
        <v>5972634.4633714287</v>
      </c>
      <c r="J12" s="268">
        <v>6330131.780228571</v>
      </c>
      <c r="K12" s="268">
        <f t="shared" si="0"/>
        <v>4197449.3108999999</v>
      </c>
      <c r="L12" s="268">
        <v>186762077.96572542</v>
      </c>
      <c r="M12" s="286">
        <f t="shared" si="1"/>
        <v>2.2474847981024906E-2</v>
      </c>
    </row>
    <row r="13" spans="2:13" ht="17.399999999999999" customHeight="1">
      <c r="B13" s="219" t="s">
        <v>101</v>
      </c>
      <c r="C13" s="155">
        <v>51</v>
      </c>
      <c r="D13" s="268">
        <v>46924595.26805</v>
      </c>
      <c r="E13" s="268">
        <v>4109571</v>
      </c>
      <c r="F13" s="268">
        <v>11418.368308529041</v>
      </c>
      <c r="G13" s="268">
        <v>831786</v>
      </c>
      <c r="H13" s="268">
        <v>528950</v>
      </c>
      <c r="I13" s="268">
        <v>21634029</v>
      </c>
      <c r="J13" s="268">
        <v>1811971.2680500001</v>
      </c>
      <c r="K13" s="268">
        <f t="shared" si="0"/>
        <v>6201684.0670125</v>
      </c>
      <c r="L13" s="268">
        <v>333172764.03670734</v>
      </c>
      <c r="M13" s="286">
        <f t="shared" si="1"/>
        <v>1.8614018720717607E-2</v>
      </c>
    </row>
    <row r="14" spans="2:13" ht="17.399999999999999" customHeight="1">
      <c r="B14" s="219" t="s">
        <v>90</v>
      </c>
      <c r="C14" s="155">
        <v>68</v>
      </c>
      <c r="D14" s="268">
        <v>27199633</v>
      </c>
      <c r="E14" s="268">
        <v>2429224</v>
      </c>
      <c r="F14" s="268">
        <v>11196.840225520578</v>
      </c>
      <c r="G14" s="268">
        <v>1298840</v>
      </c>
      <c r="H14" s="268">
        <v>1371723</v>
      </c>
      <c r="I14" s="268">
        <v>2253792</v>
      </c>
      <c r="J14" s="268">
        <v>3864866</v>
      </c>
      <c r="K14" s="268">
        <f t="shared" si="0"/>
        <v>2197305.25</v>
      </c>
      <c r="L14" s="268">
        <v>130475588.11306998</v>
      </c>
      <c r="M14" s="286">
        <f t="shared" si="1"/>
        <v>1.6840738423005368E-2</v>
      </c>
    </row>
    <row r="15" spans="2:13" ht="17.399999999999999" customHeight="1">
      <c r="B15" s="219" t="s">
        <v>100</v>
      </c>
      <c r="C15" s="155">
        <v>65</v>
      </c>
      <c r="D15" s="268">
        <v>57102134.885219999</v>
      </c>
      <c r="E15" s="268">
        <v>4468563</v>
      </c>
      <c r="F15" s="268">
        <v>12778.63485089502</v>
      </c>
      <c r="G15" s="268">
        <v>155510</v>
      </c>
      <c r="H15" s="268">
        <v>818710</v>
      </c>
      <c r="I15" s="268">
        <v>24360375</v>
      </c>
      <c r="J15" s="268">
        <v>2046891.2680500001</v>
      </c>
      <c r="K15" s="268">
        <f t="shared" si="0"/>
        <v>6845371.5670125</v>
      </c>
      <c r="L15" s="268">
        <v>461427166.99339223</v>
      </c>
      <c r="M15" s="286">
        <f t="shared" si="1"/>
        <v>1.4835215732129894E-2</v>
      </c>
    </row>
    <row r="16" spans="2:13" ht="17.399999999999999" customHeight="1">
      <c r="B16" s="219" t="s">
        <v>95</v>
      </c>
      <c r="C16" s="155">
        <v>69</v>
      </c>
      <c r="D16" s="268">
        <v>26969985.26805</v>
      </c>
      <c r="E16" s="268">
        <v>5420411</v>
      </c>
      <c r="F16" s="268">
        <v>4975.6347384082128</v>
      </c>
      <c r="G16" s="268">
        <v>643652</v>
      </c>
      <c r="H16" s="268">
        <v>2062488</v>
      </c>
      <c r="I16" s="268">
        <v>4387510</v>
      </c>
      <c r="J16" s="268">
        <v>6465634.2680500001</v>
      </c>
      <c r="K16" s="268">
        <f t="shared" si="0"/>
        <v>3389821.0670125</v>
      </c>
      <c r="L16" s="268">
        <v>240303495.80133319</v>
      </c>
      <c r="M16" s="286">
        <f t="shared" si="1"/>
        <v>1.4106415954160637E-2</v>
      </c>
    </row>
    <row r="17" spans="2:13" ht="17.399999999999999" customHeight="1">
      <c r="B17" s="219" t="s">
        <v>87</v>
      </c>
      <c r="C17" s="155">
        <v>147</v>
      </c>
      <c r="D17" s="268">
        <v>56349969.807549998</v>
      </c>
      <c r="E17" s="268">
        <v>4101322</v>
      </c>
      <c r="F17" s="268">
        <v>13739.464935342799</v>
      </c>
      <c r="G17" s="268">
        <v>3954213.86</v>
      </c>
      <c r="H17" s="268">
        <v>2919122.4325000001</v>
      </c>
      <c r="I17" s="268">
        <v>2799564.247</v>
      </c>
      <c r="J17" s="268">
        <v>4237784.2680500001</v>
      </c>
      <c r="K17" s="268">
        <f t="shared" si="0"/>
        <v>3477671.2018875</v>
      </c>
      <c r="L17" s="268">
        <v>250344509.37730485</v>
      </c>
      <c r="M17" s="286">
        <f t="shared" si="1"/>
        <v>1.389154174196868E-2</v>
      </c>
    </row>
    <row r="18" spans="2:13" ht="17.399999999999999" customHeight="1">
      <c r="B18" s="219" t="s">
        <v>137</v>
      </c>
      <c r="C18" s="155">
        <v>23</v>
      </c>
      <c r="D18" s="268">
        <v>34968867.780000001</v>
      </c>
      <c r="E18" s="268">
        <v>1616867</v>
      </c>
      <c r="F18" s="268">
        <v>21627.547460613645</v>
      </c>
      <c r="G18" s="268">
        <v>601171.48</v>
      </c>
      <c r="H18" s="268">
        <v>916561</v>
      </c>
      <c r="I18" s="268">
        <v>1735778.9314285708</v>
      </c>
      <c r="J18" s="268">
        <v>7516714.5885714293</v>
      </c>
      <c r="K18" s="268">
        <f t="shared" si="0"/>
        <v>2692556.5</v>
      </c>
      <c r="L18" s="268">
        <v>227924970.74720651</v>
      </c>
      <c r="M18" s="286">
        <f t="shared" si="1"/>
        <v>1.1813345818025078E-2</v>
      </c>
    </row>
    <row r="19" spans="2:13" ht="17.399999999999999" customHeight="1">
      <c r="B19" s="219" t="s">
        <v>70</v>
      </c>
      <c r="C19" s="155">
        <v>242</v>
      </c>
      <c r="D19" s="268">
        <v>1181084746.7100801</v>
      </c>
      <c r="E19" s="268">
        <v>11855975</v>
      </c>
      <c r="F19" s="268">
        <v>99619.368859168491</v>
      </c>
      <c r="G19" s="268">
        <v>27987395.720000003</v>
      </c>
      <c r="H19" s="268">
        <v>44441305.060839996</v>
      </c>
      <c r="I19" s="268">
        <v>66984595.480000004</v>
      </c>
      <c r="J19" s="268">
        <v>58378487.246690005</v>
      </c>
      <c r="K19" s="268">
        <f t="shared" si="0"/>
        <v>49447945.876882501</v>
      </c>
      <c r="L19" s="268">
        <v>4290630470.8923554</v>
      </c>
      <c r="M19" s="286">
        <f t="shared" si="1"/>
        <v>1.1524634016454564E-2</v>
      </c>
    </row>
    <row r="20" spans="2:13" ht="17.399999999999999" customHeight="1">
      <c r="B20" s="219" t="s">
        <v>91</v>
      </c>
      <c r="C20" s="155">
        <v>89</v>
      </c>
      <c r="D20" s="268">
        <v>56330923.317159995</v>
      </c>
      <c r="E20" s="268">
        <v>4297323</v>
      </c>
      <c r="F20" s="268">
        <v>13108.375450753876</v>
      </c>
      <c r="G20" s="268">
        <v>882459</v>
      </c>
      <c r="H20" s="268">
        <v>2789691.56</v>
      </c>
      <c r="I20" s="268">
        <v>5426245.9000000004</v>
      </c>
      <c r="J20" s="268">
        <v>7196623.0571599994</v>
      </c>
      <c r="K20" s="268">
        <f t="shared" si="0"/>
        <v>4073754.8792900001</v>
      </c>
      <c r="L20" s="268">
        <v>438917210.64570105</v>
      </c>
      <c r="M20" s="286">
        <f t="shared" si="1"/>
        <v>9.2813742101773757E-3</v>
      </c>
    </row>
    <row r="21" spans="2:13" ht="17.399999999999999" customHeight="1">
      <c r="B21" s="219" t="s">
        <v>98</v>
      </c>
      <c r="C21" s="155">
        <v>109</v>
      </c>
      <c r="D21" s="268">
        <v>49807751.28779</v>
      </c>
      <c r="E21" s="268">
        <v>4748372</v>
      </c>
      <c r="F21" s="268">
        <v>10489.437493058673</v>
      </c>
      <c r="G21" s="268">
        <v>1923965.28779</v>
      </c>
      <c r="H21" s="268">
        <v>2019475</v>
      </c>
      <c r="I21" s="268">
        <v>2206515</v>
      </c>
      <c r="J21" s="268">
        <v>5036812</v>
      </c>
      <c r="K21" s="268">
        <f t="shared" si="0"/>
        <v>2796691.8219475001</v>
      </c>
      <c r="L21" s="268">
        <v>359706534.53073072</v>
      </c>
      <c r="M21" s="286">
        <f t="shared" si="1"/>
        <v>7.7749263732337648E-3</v>
      </c>
    </row>
    <row r="22" spans="2:13" ht="17.399999999999999" customHeight="1">
      <c r="B22" s="219" t="s">
        <v>99</v>
      </c>
      <c r="C22" s="155">
        <v>81</v>
      </c>
      <c r="D22" s="268">
        <v>89526166.063049987</v>
      </c>
      <c r="E22" s="268">
        <v>6800180</v>
      </c>
      <c r="F22" s="268">
        <v>13165.264164044185</v>
      </c>
      <c r="G22" s="268">
        <v>1376242.8</v>
      </c>
      <c r="H22" s="268">
        <v>6934633</v>
      </c>
      <c r="I22" s="268">
        <v>6947198.7990000006</v>
      </c>
      <c r="J22" s="268">
        <v>5478973.780621429</v>
      </c>
      <c r="K22" s="268">
        <f t="shared" si="0"/>
        <v>5184262.0949053569</v>
      </c>
      <c r="L22" s="268">
        <v>732977309.90612817</v>
      </c>
      <c r="M22" s="286">
        <f t="shared" si="1"/>
        <v>7.0728820999510899E-3</v>
      </c>
    </row>
    <row r="23" spans="2:13" ht="17.399999999999999" customHeight="1">
      <c r="B23" s="219" t="s">
        <v>89</v>
      </c>
      <c r="C23" s="155">
        <v>71</v>
      </c>
      <c r="D23" s="268">
        <v>22445073.578050002</v>
      </c>
      <c r="E23" s="268">
        <v>3407353</v>
      </c>
      <c r="F23" s="268">
        <v>6587.2463399154722</v>
      </c>
      <c r="G23" s="268">
        <v>1053689</v>
      </c>
      <c r="H23" s="268">
        <v>1223567</v>
      </c>
      <c r="I23" s="268">
        <v>1974192</v>
      </c>
      <c r="J23" s="268">
        <v>1908040.5780500001</v>
      </c>
      <c r="K23" s="268">
        <f t="shared" si="0"/>
        <v>1539872.1445125001</v>
      </c>
      <c r="L23" s="268">
        <v>230651364.45578188</v>
      </c>
      <c r="M23" s="286">
        <f t="shared" si="1"/>
        <v>6.6761891833842096E-3</v>
      </c>
    </row>
    <row r="24" spans="2:13" ht="17.399999999999999" customHeight="1" thickBot="1">
      <c r="B24" s="222" t="s">
        <v>94</v>
      </c>
      <c r="C24" s="259">
        <v>15</v>
      </c>
      <c r="D24" s="269">
        <v>4544231</v>
      </c>
      <c r="E24" s="269">
        <v>3256140</v>
      </c>
      <c r="F24" s="269">
        <v>1395.5883346539154</v>
      </c>
      <c r="G24" s="269">
        <v>244000</v>
      </c>
      <c r="H24" s="269">
        <v>237738</v>
      </c>
      <c r="I24" s="269">
        <v>288250</v>
      </c>
      <c r="J24" s="269">
        <v>1760700</v>
      </c>
      <c r="K24" s="269">
        <f t="shared" si="0"/>
        <v>632672</v>
      </c>
      <c r="L24" s="269">
        <v>101091392.2250838</v>
      </c>
      <c r="M24" s="288">
        <f t="shared" si="1"/>
        <v>6.2584161329120079E-3</v>
      </c>
    </row>
    <row r="25" spans="2:13" ht="15" thickBot="1">
      <c r="B25" s="221"/>
      <c r="C25" s="260"/>
      <c r="D25" s="260"/>
      <c r="E25" s="260"/>
      <c r="F25" s="260"/>
      <c r="G25" s="260"/>
      <c r="H25" s="260"/>
      <c r="I25" s="260"/>
      <c r="J25" s="260"/>
      <c r="K25" s="260"/>
      <c r="L25" s="260"/>
      <c r="M25" s="221"/>
    </row>
    <row r="26" spans="2:13" ht="15" thickBot="1">
      <c r="B26" s="261" t="s">
        <v>202</v>
      </c>
      <c r="C26" s="262">
        <v>2055</v>
      </c>
      <c r="D26" s="265">
        <f>SUM(D5:D24)</f>
        <v>6036492480.186698</v>
      </c>
      <c r="E26" s="265">
        <v>92335113</v>
      </c>
      <c r="F26" s="265">
        <f>D26/E26*1000</f>
        <v>65375.914796212979</v>
      </c>
      <c r="G26" s="265">
        <f>SUM(G5:G24)</f>
        <v>296344831.76718885</v>
      </c>
      <c r="H26" s="265">
        <f>SUM(H5:H24)</f>
        <v>507565391.74419528</v>
      </c>
      <c r="I26" s="265">
        <f>SUM(I5:I24)</f>
        <v>828334247.40143716</v>
      </c>
      <c r="J26" s="265">
        <f>SUM(J5:J24)</f>
        <v>831819350.93646729</v>
      </c>
      <c r="K26" s="265">
        <f>SUM(K5:K24)</f>
        <v>616015955.46232235</v>
      </c>
      <c r="L26" s="265">
        <v>11548191402.098953</v>
      </c>
      <c r="M26" s="290">
        <f>K26/L26</f>
        <v>5.3343067672948143E-2</v>
      </c>
    </row>
    <row r="27" spans="2:13"/>
    <row r="28" spans="2:13">
      <c r="C28">
        <f>SUM(C5:C6)</f>
        <v>289</v>
      </c>
      <c r="D28" s="291">
        <f>SUM(D5:D6)</f>
        <v>2540579268.8598042</v>
      </c>
      <c r="G28" s="291">
        <f>SUM(G5:G6)</f>
        <v>231297447.38891882</v>
      </c>
      <c r="H28" s="291">
        <f>SUM(H5:H6)</f>
        <v>300765556.89553189</v>
      </c>
      <c r="I28" s="291">
        <f>SUM(I5:I6)</f>
        <v>498350208.69669729</v>
      </c>
      <c r="J28" s="291">
        <f>SUM(J5:J6)</f>
        <v>425294705.80979598</v>
      </c>
    </row>
    <row r="29" spans="2:13">
      <c r="D29" s="291">
        <f>D28/17</f>
        <v>149445839.34469438</v>
      </c>
      <c r="G29" s="291">
        <f>G28/17</f>
        <v>13605732.199348167</v>
      </c>
      <c r="H29" s="291">
        <f>H28/17</f>
        <v>17692091.58209011</v>
      </c>
      <c r="I29" s="291">
        <f>I28/17</f>
        <v>29314718.158629254</v>
      </c>
      <c r="J29" s="291">
        <f>J28/17</f>
        <v>25017335.635870352</v>
      </c>
    </row>
    <row r="30" spans="2:13">
      <c r="I30" s="291"/>
      <c r="J30" s="291"/>
    </row>
    <row r="31" spans="2:13"/>
    <row r="32" spans="2:13" s="238" customFormat="1"/>
    <row r="33" spans="2:23"/>
    <row r="34" spans="2:23"/>
    <row r="35" spans="2:23"/>
    <row r="36" spans="2:23" ht="18" thickBot="1">
      <c r="B36" s="292" t="s">
        <v>587</v>
      </c>
    </row>
    <row r="37" spans="2:23" ht="47.4" customHeight="1">
      <c r="B37" s="271" t="s">
        <v>572</v>
      </c>
      <c r="C37" s="272" t="s">
        <v>240</v>
      </c>
      <c r="D37" s="270" t="s">
        <v>582</v>
      </c>
      <c r="E37" s="270" t="s">
        <v>601</v>
      </c>
      <c r="F37" s="270" t="s">
        <v>602</v>
      </c>
      <c r="G37" s="270" t="s">
        <v>583</v>
      </c>
      <c r="H37" s="270" t="s">
        <v>584</v>
      </c>
      <c r="I37" s="270">
        <v>2013</v>
      </c>
      <c r="J37" s="270" t="s">
        <v>603</v>
      </c>
      <c r="K37" s="270" t="s">
        <v>607</v>
      </c>
      <c r="L37" s="270">
        <v>2014</v>
      </c>
      <c r="M37" s="270" t="s">
        <v>604</v>
      </c>
      <c r="N37" s="270" t="s">
        <v>608</v>
      </c>
      <c r="O37" s="270">
        <v>2015</v>
      </c>
      <c r="P37" s="270" t="s">
        <v>605</v>
      </c>
      <c r="Q37" s="270" t="s">
        <v>609</v>
      </c>
      <c r="R37" s="270">
        <v>2016</v>
      </c>
      <c r="S37" s="270" t="s">
        <v>606</v>
      </c>
      <c r="T37" s="270" t="s">
        <v>610</v>
      </c>
      <c r="U37" s="270" t="s">
        <v>588</v>
      </c>
      <c r="V37" s="270" t="s">
        <v>585</v>
      </c>
      <c r="W37" s="72" t="s">
        <v>586</v>
      </c>
    </row>
    <row r="38" spans="2:23" ht="17.399999999999999" customHeight="1">
      <c r="B38" s="219" t="s">
        <v>97</v>
      </c>
      <c r="C38" s="155">
        <v>150</v>
      </c>
      <c r="D38" s="268">
        <v>783616006.51380002</v>
      </c>
      <c r="E38" s="337">
        <f t="shared" ref="E38:E54" si="2">$D$2</f>
        <v>150613924.78545907</v>
      </c>
      <c r="F38" s="337">
        <f t="shared" ref="F38:F54" si="3">SUM(D38:E38)</f>
        <v>934229931.29925907</v>
      </c>
      <c r="G38" s="268">
        <v>10137737</v>
      </c>
      <c r="H38" s="337">
        <f>F38/G38*1000</f>
        <v>92153.695770491875</v>
      </c>
      <c r="I38" s="268">
        <v>4943381</v>
      </c>
      <c r="J38" s="337">
        <f>$G$2</f>
        <v>14006864.493465813</v>
      </c>
      <c r="K38" s="337">
        <f>SUM(I38:J38)</f>
        <v>18950245.493465811</v>
      </c>
      <c r="L38" s="268">
        <v>58855058.313000001</v>
      </c>
      <c r="M38" s="337">
        <f>$H$2</f>
        <v>17996906.935031287</v>
      </c>
      <c r="N38" s="337">
        <f>SUM(L38:M38)</f>
        <v>76851965.248031288</v>
      </c>
      <c r="O38" s="268">
        <v>83079599</v>
      </c>
      <c r="P38" s="337">
        <f>$I$2</f>
        <v>29540282.746864546</v>
      </c>
      <c r="Q38" s="337">
        <f>SUM(O38:P38)</f>
        <v>112619881.74686454</v>
      </c>
      <c r="R38" s="268">
        <v>169355066.2008</v>
      </c>
      <c r="S38" s="337">
        <f>$J$2</f>
        <v>25249749.782517407</v>
      </c>
      <c r="T38" s="337">
        <f>SUM(R38:S38)</f>
        <v>194604815.9833174</v>
      </c>
      <c r="U38" s="337">
        <f>AVERAGE(T38,Q38,N38,K38)</f>
        <v>100756727.11791974</v>
      </c>
      <c r="V38" s="268">
        <v>1018224367.0906494</v>
      </c>
      <c r="W38" s="286">
        <f t="shared" ref="W38:W54" si="4">U38/V38</f>
        <v>9.8953364675223573E-2</v>
      </c>
    </row>
    <row r="39" spans="2:23" ht="17.399999999999999" customHeight="1">
      <c r="B39" s="219" t="s">
        <v>88</v>
      </c>
      <c r="C39" s="155">
        <v>219</v>
      </c>
      <c r="D39" s="268">
        <v>645904758.14340997</v>
      </c>
      <c r="E39" s="337">
        <f t="shared" si="2"/>
        <v>150613924.78545907</v>
      </c>
      <c r="F39" s="337">
        <f t="shared" si="3"/>
        <v>796518682.92886901</v>
      </c>
      <c r="G39" s="268">
        <v>7102438</v>
      </c>
      <c r="H39" s="337">
        <f t="shared" ref="H39:H54" si="5">F39/G39*1000</f>
        <v>112147.22084569679</v>
      </c>
      <c r="I39" s="268">
        <v>2360798.5204799999</v>
      </c>
      <c r="J39" s="337">
        <f t="shared" ref="J39:J54" si="6">$G$2</f>
        <v>14006864.493465813</v>
      </c>
      <c r="K39" s="337">
        <f t="shared" ref="K39:K54" si="7">SUM(I39:J39)</f>
        <v>16367663.013945812</v>
      </c>
      <c r="L39" s="268">
        <v>14658291.688990001</v>
      </c>
      <c r="M39" s="337">
        <f t="shared" ref="M39:M54" si="8">$H$2</f>
        <v>17996906.935031287</v>
      </c>
      <c r="N39" s="337">
        <f t="shared" ref="N39:N54" si="9">SUM(L39:M39)</f>
        <v>32655198.624021288</v>
      </c>
      <c r="O39" s="268">
        <v>10090253.833939999</v>
      </c>
      <c r="P39" s="337">
        <f t="shared" ref="P39:P54" si="10">$I$2</f>
        <v>29540282.746864546</v>
      </c>
      <c r="Q39" s="337">
        <f t="shared" ref="Q39:Q54" si="11">SUM(O39:P39)</f>
        <v>39630536.580804542</v>
      </c>
      <c r="R39" s="268">
        <v>37444535</v>
      </c>
      <c r="S39" s="337">
        <f t="shared" ref="S39:S54" si="12">$J$2</f>
        <v>25249749.782517407</v>
      </c>
      <c r="T39" s="337">
        <f t="shared" ref="T39:T53" si="13">SUM(R39:S39)</f>
        <v>62694284.782517403</v>
      </c>
      <c r="U39" s="337">
        <f t="shared" ref="U39:U54" si="14">AVERAGE(T39,Q39,N39,K39)</f>
        <v>37836920.75032226</v>
      </c>
      <c r="V39" s="268">
        <v>455654312.1101864</v>
      </c>
      <c r="W39" s="286">
        <f t="shared" si="4"/>
        <v>8.3038653963561151E-2</v>
      </c>
    </row>
    <row r="40" spans="2:23" ht="17.399999999999999" customHeight="1">
      <c r="B40" s="219" t="s">
        <v>112</v>
      </c>
      <c r="C40" s="155">
        <v>147</v>
      </c>
      <c r="D40" s="268">
        <v>305113156.72333336</v>
      </c>
      <c r="E40" s="337">
        <f t="shared" si="2"/>
        <v>150613924.78545907</v>
      </c>
      <c r="F40" s="337">
        <f t="shared" si="3"/>
        <v>455727081.5087924</v>
      </c>
      <c r="G40" s="268">
        <v>12609803</v>
      </c>
      <c r="H40" s="337">
        <f t="shared" si="5"/>
        <v>36140.697956089592</v>
      </c>
      <c r="I40" s="268">
        <v>6685469.8499999996</v>
      </c>
      <c r="J40" s="337">
        <f t="shared" si="6"/>
        <v>14006864.493465813</v>
      </c>
      <c r="K40" s="337">
        <f t="shared" si="7"/>
        <v>20692334.343465813</v>
      </c>
      <c r="L40" s="268">
        <v>54085457.993333332</v>
      </c>
      <c r="M40" s="337">
        <f t="shared" si="8"/>
        <v>17996906.935031287</v>
      </c>
      <c r="N40" s="337">
        <f t="shared" si="9"/>
        <v>72082364.92836462</v>
      </c>
      <c r="O40" s="268">
        <v>82482502.049999997</v>
      </c>
      <c r="P40" s="337">
        <f t="shared" si="10"/>
        <v>29540282.746864546</v>
      </c>
      <c r="Q40" s="337">
        <f t="shared" si="11"/>
        <v>112022784.79686454</v>
      </c>
      <c r="R40" s="268">
        <v>74431366.609999999</v>
      </c>
      <c r="S40" s="337">
        <f t="shared" si="12"/>
        <v>25249749.782517407</v>
      </c>
      <c r="T40" s="337">
        <f t="shared" si="13"/>
        <v>99681116.392517403</v>
      </c>
      <c r="U40" s="337">
        <f t="shared" si="14"/>
        <v>76119650.115303099</v>
      </c>
      <c r="V40" s="268">
        <v>1881381140.5255404</v>
      </c>
      <c r="W40" s="286">
        <f t="shared" si="4"/>
        <v>4.0459452088501338E-2</v>
      </c>
    </row>
    <row r="41" spans="2:23" ht="17.399999999999999" customHeight="1">
      <c r="B41" s="219" t="s">
        <v>92</v>
      </c>
      <c r="C41" s="155">
        <v>91</v>
      </c>
      <c r="D41" s="268">
        <v>53416840.379349992</v>
      </c>
      <c r="E41" s="337">
        <f t="shared" si="2"/>
        <v>150613924.78545907</v>
      </c>
      <c r="F41" s="337">
        <f t="shared" si="3"/>
        <v>204030765.16480905</v>
      </c>
      <c r="G41" s="268">
        <v>3229163</v>
      </c>
      <c r="H41" s="337">
        <f t="shared" si="5"/>
        <v>63183.792569408557</v>
      </c>
      <c r="I41" s="268">
        <v>2338568.86</v>
      </c>
      <c r="J41" s="337">
        <f t="shared" si="6"/>
        <v>14006864.493465813</v>
      </c>
      <c r="K41" s="337">
        <f t="shared" si="7"/>
        <v>16345433.353465812</v>
      </c>
      <c r="L41" s="268">
        <v>4215162.8</v>
      </c>
      <c r="M41" s="337">
        <f t="shared" si="8"/>
        <v>17996906.935031287</v>
      </c>
      <c r="N41" s="337">
        <f t="shared" si="9"/>
        <v>22212069.735031288</v>
      </c>
      <c r="O41" s="268">
        <v>3526405</v>
      </c>
      <c r="P41" s="337">
        <f t="shared" si="10"/>
        <v>29540282.746864546</v>
      </c>
      <c r="Q41" s="337">
        <f t="shared" si="11"/>
        <v>33066687.746864546</v>
      </c>
      <c r="R41" s="268">
        <v>9309006.719349999</v>
      </c>
      <c r="S41" s="337">
        <f t="shared" si="12"/>
        <v>25249749.782517407</v>
      </c>
      <c r="T41" s="337">
        <f t="shared" si="13"/>
        <v>34558756.501867406</v>
      </c>
      <c r="U41" s="337">
        <f t="shared" si="14"/>
        <v>26545736.834307265</v>
      </c>
      <c r="V41" s="268">
        <v>208546726.68205774</v>
      </c>
      <c r="W41" s="286">
        <f t="shared" si="4"/>
        <v>0.12728915604020899</v>
      </c>
    </row>
    <row r="42" spans="2:23" ht="17.399999999999999" customHeight="1">
      <c r="B42" s="219" t="s">
        <v>93</v>
      </c>
      <c r="C42" s="155">
        <v>109</v>
      </c>
      <c r="D42" s="268">
        <v>34750919.108999997</v>
      </c>
      <c r="E42" s="337">
        <f t="shared" si="2"/>
        <v>150613924.78545907</v>
      </c>
      <c r="F42" s="337">
        <f t="shared" si="3"/>
        <v>185364843.89445907</v>
      </c>
      <c r="G42" s="268">
        <v>2744671</v>
      </c>
      <c r="H42" s="337">
        <f t="shared" si="5"/>
        <v>67536.270793278702</v>
      </c>
      <c r="I42" s="268">
        <v>946992</v>
      </c>
      <c r="J42" s="337">
        <f t="shared" si="6"/>
        <v>14006864.493465813</v>
      </c>
      <c r="K42" s="337">
        <f t="shared" si="7"/>
        <v>14953856.493465813</v>
      </c>
      <c r="L42" s="268">
        <v>3540039</v>
      </c>
      <c r="M42" s="337">
        <f t="shared" si="8"/>
        <v>17996906.935031287</v>
      </c>
      <c r="N42" s="337">
        <f t="shared" si="9"/>
        <v>21536945.935031287</v>
      </c>
      <c r="O42" s="268">
        <v>5972634.4633714287</v>
      </c>
      <c r="P42" s="337">
        <f t="shared" si="10"/>
        <v>29540282.746864546</v>
      </c>
      <c r="Q42" s="337">
        <f t="shared" si="11"/>
        <v>35512917.210235976</v>
      </c>
      <c r="R42" s="268">
        <v>6330131.780228571</v>
      </c>
      <c r="S42" s="337">
        <f t="shared" si="12"/>
        <v>25249749.782517407</v>
      </c>
      <c r="T42" s="337">
        <f t="shared" si="13"/>
        <v>31579881.562745977</v>
      </c>
      <c r="U42" s="337">
        <f t="shared" si="14"/>
        <v>25895900.300369762</v>
      </c>
      <c r="V42" s="268">
        <v>186762077.96572542</v>
      </c>
      <c r="W42" s="286">
        <f t="shared" si="4"/>
        <v>0.13865716521489002</v>
      </c>
    </row>
    <row r="43" spans="2:23" ht="17.399999999999999" customHeight="1">
      <c r="B43" s="219" t="s">
        <v>101</v>
      </c>
      <c r="C43" s="155">
        <v>51</v>
      </c>
      <c r="D43" s="268">
        <v>46924595.26805</v>
      </c>
      <c r="E43" s="337">
        <f t="shared" si="2"/>
        <v>150613924.78545907</v>
      </c>
      <c r="F43" s="337">
        <f t="shared" si="3"/>
        <v>197538520.05350906</v>
      </c>
      <c r="G43" s="268">
        <v>4109571</v>
      </c>
      <c r="H43" s="337">
        <f t="shared" si="5"/>
        <v>48067.917564511983</v>
      </c>
      <c r="I43" s="268">
        <v>831786</v>
      </c>
      <c r="J43" s="337">
        <f t="shared" si="6"/>
        <v>14006864.493465813</v>
      </c>
      <c r="K43" s="337">
        <f t="shared" si="7"/>
        <v>14838650.493465813</v>
      </c>
      <c r="L43" s="268">
        <v>528950</v>
      </c>
      <c r="M43" s="337">
        <f t="shared" si="8"/>
        <v>17996906.935031287</v>
      </c>
      <c r="N43" s="337">
        <f t="shared" si="9"/>
        <v>18525856.935031287</v>
      </c>
      <c r="O43" s="268">
        <v>21634029</v>
      </c>
      <c r="P43" s="337">
        <f t="shared" si="10"/>
        <v>29540282.746864546</v>
      </c>
      <c r="Q43" s="337">
        <f t="shared" si="11"/>
        <v>51174311.746864542</v>
      </c>
      <c r="R43" s="268">
        <v>1811971.2680500001</v>
      </c>
      <c r="S43" s="337">
        <f t="shared" si="12"/>
        <v>25249749.782517407</v>
      </c>
      <c r="T43" s="337">
        <f t="shared" si="13"/>
        <v>27061721.050567407</v>
      </c>
      <c r="U43" s="337">
        <f t="shared" si="14"/>
        <v>27900135.056482263</v>
      </c>
      <c r="V43" s="268">
        <v>333172764.03670734</v>
      </c>
      <c r="W43" s="286">
        <f t="shared" si="4"/>
        <v>8.3740743746413687E-2</v>
      </c>
    </row>
    <row r="44" spans="2:23" ht="17.399999999999999" customHeight="1">
      <c r="B44" s="219" t="s">
        <v>90</v>
      </c>
      <c r="C44" s="155">
        <v>68</v>
      </c>
      <c r="D44" s="268">
        <v>27199633</v>
      </c>
      <c r="E44" s="337">
        <f t="shared" si="2"/>
        <v>150613924.78545907</v>
      </c>
      <c r="F44" s="337">
        <f t="shared" si="3"/>
        <v>177813557.78545907</v>
      </c>
      <c r="G44" s="268">
        <v>2429224</v>
      </c>
      <c r="H44" s="337">
        <f t="shared" si="5"/>
        <v>73197.678676589348</v>
      </c>
      <c r="I44" s="268">
        <v>1298840</v>
      </c>
      <c r="J44" s="337">
        <f t="shared" si="6"/>
        <v>14006864.493465813</v>
      </c>
      <c r="K44" s="337">
        <f t="shared" si="7"/>
        <v>15305704.493465813</v>
      </c>
      <c r="L44" s="268">
        <v>1371723</v>
      </c>
      <c r="M44" s="337">
        <f t="shared" si="8"/>
        <v>17996906.935031287</v>
      </c>
      <c r="N44" s="337">
        <f t="shared" si="9"/>
        <v>19368629.935031287</v>
      </c>
      <c r="O44" s="268">
        <v>2253792</v>
      </c>
      <c r="P44" s="337">
        <f t="shared" si="10"/>
        <v>29540282.746864546</v>
      </c>
      <c r="Q44" s="337">
        <f t="shared" si="11"/>
        <v>31794074.746864546</v>
      </c>
      <c r="R44" s="268">
        <v>3864866</v>
      </c>
      <c r="S44" s="337">
        <f t="shared" si="12"/>
        <v>25249749.782517407</v>
      </c>
      <c r="T44" s="337">
        <f t="shared" si="13"/>
        <v>29114615.782517407</v>
      </c>
      <c r="U44" s="337">
        <f t="shared" si="14"/>
        <v>23895756.239469763</v>
      </c>
      <c r="V44" s="268">
        <v>130475588.11306998</v>
      </c>
      <c r="W44" s="286">
        <f t="shared" si="4"/>
        <v>0.18314350281955985</v>
      </c>
    </row>
    <row r="45" spans="2:23" ht="17.399999999999999" customHeight="1">
      <c r="B45" s="219" t="s">
        <v>100</v>
      </c>
      <c r="C45" s="155">
        <v>65</v>
      </c>
      <c r="D45" s="268">
        <v>57102134.885219999</v>
      </c>
      <c r="E45" s="337">
        <f t="shared" si="2"/>
        <v>150613924.78545907</v>
      </c>
      <c r="F45" s="337">
        <f t="shared" si="3"/>
        <v>207716059.67067906</v>
      </c>
      <c r="G45" s="268">
        <v>4468563</v>
      </c>
      <c r="H45" s="337">
        <f t="shared" si="5"/>
        <v>46483.860621564265</v>
      </c>
      <c r="I45" s="268">
        <v>155510</v>
      </c>
      <c r="J45" s="337">
        <f t="shared" si="6"/>
        <v>14006864.493465813</v>
      </c>
      <c r="K45" s="337">
        <f t="shared" si="7"/>
        <v>14162374.493465813</v>
      </c>
      <c r="L45" s="268">
        <v>818710</v>
      </c>
      <c r="M45" s="337">
        <f t="shared" si="8"/>
        <v>17996906.935031287</v>
      </c>
      <c r="N45" s="337">
        <f t="shared" si="9"/>
        <v>18815616.935031287</v>
      </c>
      <c r="O45" s="268">
        <v>24360375</v>
      </c>
      <c r="P45" s="337">
        <f t="shared" si="10"/>
        <v>29540282.746864546</v>
      </c>
      <c r="Q45" s="337">
        <f t="shared" si="11"/>
        <v>53900657.746864542</v>
      </c>
      <c r="R45" s="268">
        <v>2046891.2680500001</v>
      </c>
      <c r="S45" s="337">
        <f t="shared" si="12"/>
        <v>25249749.782517407</v>
      </c>
      <c r="T45" s="337">
        <f t="shared" si="13"/>
        <v>27296641.050567407</v>
      </c>
      <c r="U45" s="337">
        <f t="shared" si="14"/>
        <v>28543822.556482263</v>
      </c>
      <c r="V45" s="268">
        <v>461427166.99339223</v>
      </c>
      <c r="W45" s="286">
        <f t="shared" si="4"/>
        <v>6.1859865647856442E-2</v>
      </c>
    </row>
    <row r="46" spans="2:23" ht="17.399999999999999" customHeight="1">
      <c r="B46" s="219" t="s">
        <v>95</v>
      </c>
      <c r="C46" s="155">
        <v>69</v>
      </c>
      <c r="D46" s="268">
        <v>26969985.26805</v>
      </c>
      <c r="E46" s="337">
        <f t="shared" si="2"/>
        <v>150613924.78545907</v>
      </c>
      <c r="F46" s="337">
        <f t="shared" si="3"/>
        <v>177583910.05350906</v>
      </c>
      <c r="G46" s="268">
        <v>5420411</v>
      </c>
      <c r="H46" s="337">
        <f t="shared" si="5"/>
        <v>32762.074693876359</v>
      </c>
      <c r="I46" s="268">
        <v>643652</v>
      </c>
      <c r="J46" s="337">
        <f t="shared" si="6"/>
        <v>14006864.493465813</v>
      </c>
      <c r="K46" s="337">
        <f t="shared" si="7"/>
        <v>14650516.493465813</v>
      </c>
      <c r="L46" s="268">
        <v>2062488</v>
      </c>
      <c r="M46" s="337">
        <f t="shared" si="8"/>
        <v>17996906.935031287</v>
      </c>
      <c r="N46" s="337">
        <f t="shared" si="9"/>
        <v>20059394.935031287</v>
      </c>
      <c r="O46" s="268">
        <v>4387510</v>
      </c>
      <c r="P46" s="337">
        <f t="shared" si="10"/>
        <v>29540282.746864546</v>
      </c>
      <c r="Q46" s="337">
        <f t="shared" si="11"/>
        <v>33927792.746864542</v>
      </c>
      <c r="R46" s="268">
        <v>6465634.2680500001</v>
      </c>
      <c r="S46" s="337">
        <f t="shared" si="12"/>
        <v>25249749.782517407</v>
      </c>
      <c r="T46" s="337">
        <f t="shared" si="13"/>
        <v>31715384.050567407</v>
      </c>
      <c r="U46" s="337">
        <f t="shared" si="14"/>
        <v>25088272.056482263</v>
      </c>
      <c r="V46" s="268">
        <v>240303495.80133319</v>
      </c>
      <c r="W46" s="286">
        <f t="shared" si="4"/>
        <v>0.10440244313891947</v>
      </c>
    </row>
    <row r="47" spans="2:23" ht="17.399999999999999" customHeight="1">
      <c r="B47" s="219" t="s">
        <v>87</v>
      </c>
      <c r="C47" s="155">
        <v>147</v>
      </c>
      <c r="D47" s="268">
        <v>56349969.807549998</v>
      </c>
      <c r="E47" s="337">
        <f t="shared" si="2"/>
        <v>150613924.78545907</v>
      </c>
      <c r="F47" s="337">
        <f t="shared" si="3"/>
        <v>206963894.59300905</v>
      </c>
      <c r="G47" s="268">
        <v>4101322</v>
      </c>
      <c r="H47" s="337">
        <f t="shared" si="5"/>
        <v>50462.727528589334</v>
      </c>
      <c r="I47" s="268">
        <v>3954213.86</v>
      </c>
      <c r="J47" s="337">
        <f t="shared" si="6"/>
        <v>14006864.493465813</v>
      </c>
      <c r="K47" s="337">
        <f t="shared" si="7"/>
        <v>17961078.353465814</v>
      </c>
      <c r="L47" s="268">
        <v>2919122.4325000001</v>
      </c>
      <c r="M47" s="337">
        <f t="shared" si="8"/>
        <v>17996906.935031287</v>
      </c>
      <c r="N47" s="337">
        <f t="shared" si="9"/>
        <v>20916029.367531288</v>
      </c>
      <c r="O47" s="268">
        <v>2799564.247</v>
      </c>
      <c r="P47" s="337">
        <f t="shared" si="10"/>
        <v>29540282.746864546</v>
      </c>
      <c r="Q47" s="337">
        <f t="shared" si="11"/>
        <v>32339846.993864547</v>
      </c>
      <c r="R47" s="268">
        <v>4237784.2680500001</v>
      </c>
      <c r="S47" s="337">
        <f t="shared" si="12"/>
        <v>25249749.782517407</v>
      </c>
      <c r="T47" s="337">
        <f t="shared" si="13"/>
        <v>29487534.050567407</v>
      </c>
      <c r="U47" s="337">
        <f t="shared" si="14"/>
        <v>25176122.191357262</v>
      </c>
      <c r="V47" s="268">
        <v>250344509.37730485</v>
      </c>
      <c r="W47" s="286">
        <f t="shared" si="4"/>
        <v>0.10056590517594799</v>
      </c>
    </row>
    <row r="48" spans="2:23" ht="17.399999999999999" customHeight="1">
      <c r="B48" s="219" t="s">
        <v>137</v>
      </c>
      <c r="C48" s="155">
        <v>23</v>
      </c>
      <c r="D48" s="268">
        <v>34968867.780000001</v>
      </c>
      <c r="E48" s="337">
        <f t="shared" si="2"/>
        <v>150613924.78545907</v>
      </c>
      <c r="F48" s="337">
        <f t="shared" si="3"/>
        <v>185582792.56545907</v>
      </c>
      <c r="G48" s="268">
        <v>1616867</v>
      </c>
      <c r="H48" s="337">
        <f t="shared" si="5"/>
        <v>114779.25677588761</v>
      </c>
      <c r="I48" s="268">
        <v>601171.48</v>
      </c>
      <c r="J48" s="337">
        <f t="shared" si="6"/>
        <v>14006864.493465813</v>
      </c>
      <c r="K48" s="337">
        <f t="shared" si="7"/>
        <v>14608035.973465813</v>
      </c>
      <c r="L48" s="268">
        <v>916561</v>
      </c>
      <c r="M48" s="337">
        <f t="shared" si="8"/>
        <v>17996906.935031287</v>
      </c>
      <c r="N48" s="337">
        <f t="shared" si="9"/>
        <v>18913467.935031287</v>
      </c>
      <c r="O48" s="268">
        <v>1735778.9314285708</v>
      </c>
      <c r="P48" s="337">
        <f t="shared" si="10"/>
        <v>29540282.746864546</v>
      </c>
      <c r="Q48" s="337">
        <f t="shared" si="11"/>
        <v>31276061.678293116</v>
      </c>
      <c r="R48" s="268">
        <v>7516714.5885714293</v>
      </c>
      <c r="S48" s="337">
        <f t="shared" si="12"/>
        <v>25249749.782517407</v>
      </c>
      <c r="T48" s="337">
        <f t="shared" si="13"/>
        <v>32766464.371088836</v>
      </c>
      <c r="U48" s="337">
        <f t="shared" si="14"/>
        <v>24391007.489469763</v>
      </c>
      <c r="V48" s="268">
        <v>227924970.74720651</v>
      </c>
      <c r="W48" s="286">
        <f t="shared" si="4"/>
        <v>0.10701331850349137</v>
      </c>
    </row>
    <row r="49" spans="2:23" ht="17.399999999999999" customHeight="1">
      <c r="B49" s="219" t="s">
        <v>70</v>
      </c>
      <c r="C49" s="155">
        <v>242</v>
      </c>
      <c r="D49" s="268">
        <v>1181084746.7100801</v>
      </c>
      <c r="E49" s="337">
        <f t="shared" si="2"/>
        <v>150613924.78545907</v>
      </c>
      <c r="F49" s="337">
        <f t="shared" si="3"/>
        <v>1331698671.4955392</v>
      </c>
      <c r="G49" s="268">
        <v>11855975</v>
      </c>
      <c r="H49" s="337">
        <f t="shared" si="5"/>
        <v>112322.9992890116</v>
      </c>
      <c r="I49" s="268">
        <v>27987395.720000003</v>
      </c>
      <c r="J49" s="337">
        <f t="shared" si="6"/>
        <v>14006864.493465813</v>
      </c>
      <c r="K49" s="337">
        <f t="shared" si="7"/>
        <v>41994260.213465817</v>
      </c>
      <c r="L49" s="268">
        <v>44441305.060839996</v>
      </c>
      <c r="M49" s="337">
        <f t="shared" si="8"/>
        <v>17996906.935031287</v>
      </c>
      <c r="N49" s="337">
        <f t="shared" si="9"/>
        <v>62438211.995871283</v>
      </c>
      <c r="O49" s="268">
        <v>66984595.480000004</v>
      </c>
      <c r="P49" s="337">
        <f t="shared" si="10"/>
        <v>29540282.746864546</v>
      </c>
      <c r="Q49" s="337">
        <f t="shared" si="11"/>
        <v>96524878.226864547</v>
      </c>
      <c r="R49" s="268">
        <v>58378487.246690005</v>
      </c>
      <c r="S49" s="337">
        <f t="shared" si="12"/>
        <v>25249749.782517407</v>
      </c>
      <c r="T49" s="337">
        <f t="shared" si="13"/>
        <v>83628237.029207408</v>
      </c>
      <c r="U49" s="337">
        <f t="shared" si="14"/>
        <v>71146396.86635226</v>
      </c>
      <c r="V49" s="268">
        <v>4290630470.8923554</v>
      </c>
      <c r="W49" s="286">
        <f t="shared" si="4"/>
        <v>1.6581804783471692E-2</v>
      </c>
    </row>
    <row r="50" spans="2:23" ht="17.399999999999999" customHeight="1">
      <c r="B50" s="219" t="s">
        <v>91</v>
      </c>
      <c r="C50" s="155">
        <v>89</v>
      </c>
      <c r="D50" s="268">
        <v>56330923.317159995</v>
      </c>
      <c r="E50" s="337">
        <f t="shared" si="2"/>
        <v>150613924.78545907</v>
      </c>
      <c r="F50" s="337">
        <f t="shared" si="3"/>
        <v>206944848.10261905</v>
      </c>
      <c r="G50" s="268">
        <v>4297323</v>
      </c>
      <c r="H50" s="337">
        <f t="shared" si="5"/>
        <v>48156.689199908658</v>
      </c>
      <c r="I50" s="268">
        <v>882459</v>
      </c>
      <c r="J50" s="337">
        <f t="shared" si="6"/>
        <v>14006864.493465813</v>
      </c>
      <c r="K50" s="337">
        <f t="shared" si="7"/>
        <v>14889323.493465813</v>
      </c>
      <c r="L50" s="268">
        <v>2789691.56</v>
      </c>
      <c r="M50" s="337">
        <f t="shared" si="8"/>
        <v>17996906.935031287</v>
      </c>
      <c r="N50" s="337">
        <f t="shared" si="9"/>
        <v>20786598.495031286</v>
      </c>
      <c r="O50" s="268">
        <v>5426245.9000000004</v>
      </c>
      <c r="P50" s="337">
        <f t="shared" si="10"/>
        <v>29540282.746864546</v>
      </c>
      <c r="Q50" s="337">
        <f t="shared" si="11"/>
        <v>34966528.646864548</v>
      </c>
      <c r="R50" s="268">
        <v>7196623.0571599994</v>
      </c>
      <c r="S50" s="337">
        <f t="shared" si="12"/>
        <v>25249749.782517407</v>
      </c>
      <c r="T50" s="337">
        <f t="shared" si="13"/>
        <v>32446372.839677408</v>
      </c>
      <c r="U50" s="337">
        <f t="shared" si="14"/>
        <v>25772205.868759762</v>
      </c>
      <c r="V50" s="268">
        <v>438917210.64570105</v>
      </c>
      <c r="W50" s="286">
        <f t="shared" si="4"/>
        <v>5.8717692639223891E-2</v>
      </c>
    </row>
    <row r="51" spans="2:23" ht="17.399999999999999" customHeight="1">
      <c r="B51" s="219" t="s">
        <v>98</v>
      </c>
      <c r="C51" s="155">
        <v>109</v>
      </c>
      <c r="D51" s="268">
        <v>49807751.28779</v>
      </c>
      <c r="E51" s="337">
        <f t="shared" si="2"/>
        <v>150613924.78545907</v>
      </c>
      <c r="F51" s="337">
        <f t="shared" si="3"/>
        <v>200421676.07324907</v>
      </c>
      <c r="G51" s="268">
        <v>4748372</v>
      </c>
      <c r="H51" s="337">
        <f t="shared" si="5"/>
        <v>42208.503477244216</v>
      </c>
      <c r="I51" s="268">
        <v>1923965.28779</v>
      </c>
      <c r="J51" s="337">
        <f t="shared" si="6"/>
        <v>14006864.493465813</v>
      </c>
      <c r="K51" s="337">
        <f t="shared" si="7"/>
        <v>15930829.781255813</v>
      </c>
      <c r="L51" s="268">
        <v>2019475</v>
      </c>
      <c r="M51" s="337">
        <f t="shared" si="8"/>
        <v>17996906.935031287</v>
      </c>
      <c r="N51" s="337">
        <f t="shared" si="9"/>
        <v>20016381.935031287</v>
      </c>
      <c r="O51" s="268">
        <v>2206515</v>
      </c>
      <c r="P51" s="337">
        <f t="shared" si="10"/>
        <v>29540282.746864546</v>
      </c>
      <c r="Q51" s="337">
        <f t="shared" si="11"/>
        <v>31746797.746864546</v>
      </c>
      <c r="R51" s="268">
        <v>5036812</v>
      </c>
      <c r="S51" s="337">
        <f t="shared" si="12"/>
        <v>25249749.782517407</v>
      </c>
      <c r="T51" s="337">
        <f t="shared" si="13"/>
        <v>30286561.782517407</v>
      </c>
      <c r="U51" s="337">
        <f t="shared" si="14"/>
        <v>24495142.811417263</v>
      </c>
      <c r="V51" s="268">
        <v>359706534.53073072</v>
      </c>
      <c r="W51" s="286">
        <f t="shared" si="4"/>
        <v>6.8097575273057973E-2</v>
      </c>
    </row>
    <row r="52" spans="2:23" ht="17.399999999999999" customHeight="1">
      <c r="B52" s="219" t="s">
        <v>99</v>
      </c>
      <c r="C52" s="155">
        <v>81</v>
      </c>
      <c r="D52" s="268">
        <v>89526166.063049987</v>
      </c>
      <c r="E52" s="337">
        <f t="shared" si="2"/>
        <v>150613924.78545907</v>
      </c>
      <c r="F52" s="337">
        <f t="shared" si="3"/>
        <v>240140090.84850907</v>
      </c>
      <c r="G52" s="268">
        <v>6800180</v>
      </c>
      <c r="H52" s="337">
        <f t="shared" si="5"/>
        <v>35313.784465780183</v>
      </c>
      <c r="I52" s="268">
        <v>1376242.8</v>
      </c>
      <c r="J52" s="337">
        <f t="shared" si="6"/>
        <v>14006864.493465813</v>
      </c>
      <c r="K52" s="337">
        <f t="shared" si="7"/>
        <v>15383107.293465814</v>
      </c>
      <c r="L52" s="268">
        <v>6934633</v>
      </c>
      <c r="M52" s="337">
        <f t="shared" si="8"/>
        <v>17996906.935031287</v>
      </c>
      <c r="N52" s="337">
        <f t="shared" si="9"/>
        <v>24931539.935031287</v>
      </c>
      <c r="O52" s="268">
        <v>6947198.7990000006</v>
      </c>
      <c r="P52" s="337">
        <f t="shared" si="10"/>
        <v>29540282.746864546</v>
      </c>
      <c r="Q52" s="337">
        <f t="shared" si="11"/>
        <v>36487481.545864545</v>
      </c>
      <c r="R52" s="268">
        <v>5478973.780621429</v>
      </c>
      <c r="S52" s="337">
        <f t="shared" si="12"/>
        <v>25249749.782517407</v>
      </c>
      <c r="T52" s="337">
        <f t="shared" si="13"/>
        <v>30728723.563138835</v>
      </c>
      <c r="U52" s="337">
        <f t="shared" si="14"/>
        <v>26882713.084375117</v>
      </c>
      <c r="V52" s="268">
        <v>732977309.90612817</v>
      </c>
      <c r="W52" s="286">
        <f t="shared" si="4"/>
        <v>3.6676050842307746E-2</v>
      </c>
    </row>
    <row r="53" spans="2:23" ht="17.399999999999999" customHeight="1">
      <c r="B53" s="219" t="s">
        <v>89</v>
      </c>
      <c r="C53" s="155">
        <v>71</v>
      </c>
      <c r="D53" s="268">
        <v>22445073.578050002</v>
      </c>
      <c r="E53" s="337">
        <f t="shared" si="2"/>
        <v>150613924.78545907</v>
      </c>
      <c r="F53" s="337">
        <f t="shared" si="3"/>
        <v>173058998.36350906</v>
      </c>
      <c r="G53" s="268">
        <v>3407353</v>
      </c>
      <c r="H53" s="337">
        <f t="shared" si="5"/>
        <v>50789.864849197911</v>
      </c>
      <c r="I53" s="268">
        <v>1053689</v>
      </c>
      <c r="J53" s="337">
        <f t="shared" si="6"/>
        <v>14006864.493465813</v>
      </c>
      <c r="K53" s="337">
        <f t="shared" si="7"/>
        <v>15060553.493465813</v>
      </c>
      <c r="L53" s="268">
        <v>1223567</v>
      </c>
      <c r="M53" s="337">
        <f t="shared" si="8"/>
        <v>17996906.935031287</v>
      </c>
      <c r="N53" s="337">
        <f t="shared" si="9"/>
        <v>19220473.935031287</v>
      </c>
      <c r="O53" s="268">
        <v>1974192</v>
      </c>
      <c r="P53" s="337">
        <f t="shared" si="10"/>
        <v>29540282.746864546</v>
      </c>
      <c r="Q53" s="337">
        <f t="shared" si="11"/>
        <v>31514474.746864546</v>
      </c>
      <c r="R53" s="268">
        <v>1908040.5780500001</v>
      </c>
      <c r="S53" s="337">
        <f t="shared" si="12"/>
        <v>25249749.782517407</v>
      </c>
      <c r="T53" s="337">
        <f t="shared" si="13"/>
        <v>27157790.360567406</v>
      </c>
      <c r="U53" s="337">
        <f t="shared" si="14"/>
        <v>23238323.133982264</v>
      </c>
      <c r="V53" s="268">
        <v>230651364.45578188</v>
      </c>
      <c r="W53" s="286">
        <f t="shared" si="4"/>
        <v>0.10075085915408612</v>
      </c>
    </row>
    <row r="54" spans="2:23" ht="17.399999999999999" customHeight="1" thickBot="1">
      <c r="B54" s="222" t="s">
        <v>94</v>
      </c>
      <c r="C54" s="259">
        <v>15</v>
      </c>
      <c r="D54" s="269">
        <v>4544231</v>
      </c>
      <c r="E54" s="337">
        <f t="shared" si="2"/>
        <v>150613924.78545907</v>
      </c>
      <c r="F54" s="337">
        <f t="shared" si="3"/>
        <v>155158155.78545907</v>
      </c>
      <c r="G54" s="269">
        <v>3256140</v>
      </c>
      <c r="H54" s="337">
        <f t="shared" si="5"/>
        <v>47650.947374946736</v>
      </c>
      <c r="I54" s="269">
        <v>244000</v>
      </c>
      <c r="J54" s="337">
        <f t="shared" si="6"/>
        <v>14006864.493465813</v>
      </c>
      <c r="K54" s="337">
        <f t="shared" si="7"/>
        <v>14250864.493465813</v>
      </c>
      <c r="L54" s="269">
        <v>237738</v>
      </c>
      <c r="M54" s="337">
        <f t="shared" si="8"/>
        <v>17996906.935031287</v>
      </c>
      <c r="N54" s="337">
        <f t="shared" si="9"/>
        <v>18234644.935031287</v>
      </c>
      <c r="O54" s="269">
        <v>288250</v>
      </c>
      <c r="P54" s="337">
        <f t="shared" si="10"/>
        <v>29540282.746864546</v>
      </c>
      <c r="Q54" s="337">
        <f t="shared" si="11"/>
        <v>29828532.746864546</v>
      </c>
      <c r="R54" s="269">
        <v>1760700</v>
      </c>
      <c r="S54" s="337">
        <f t="shared" si="12"/>
        <v>25249749.782517407</v>
      </c>
      <c r="T54" s="337">
        <f>SUM(R54:S54)</f>
        <v>27010449.782517407</v>
      </c>
      <c r="U54" s="337">
        <f t="shared" si="14"/>
        <v>22331122.989469763</v>
      </c>
      <c r="V54" s="269">
        <v>101091392.2250838</v>
      </c>
      <c r="W54" s="288">
        <f t="shared" si="4"/>
        <v>0.22090034075056236</v>
      </c>
    </row>
    <row r="55" spans="2:23" ht="15" thickBot="1">
      <c r="B55" s="221"/>
      <c r="C55" s="260"/>
      <c r="D55" s="260"/>
      <c r="E55" s="260"/>
      <c r="F55" s="260"/>
      <c r="G55" s="260"/>
      <c r="H55" s="260"/>
      <c r="I55" s="260"/>
      <c r="J55" s="260"/>
      <c r="K55" s="260"/>
      <c r="L55" s="260"/>
      <c r="M55" s="260"/>
      <c r="N55" s="260"/>
      <c r="O55" s="221"/>
    </row>
    <row r="56" spans="2:23" ht="15" thickBot="1">
      <c r="B56" s="261" t="s">
        <v>202</v>
      </c>
      <c r="C56" s="262">
        <v>2055</v>
      </c>
      <c r="D56" s="265">
        <f>SUM(D33:D54)</f>
        <v>3476055758.8338928</v>
      </c>
      <c r="E56" s="265">
        <f>SUM(E33:E54)</f>
        <v>2560436721.3528042</v>
      </c>
      <c r="F56" s="265">
        <f>SUM(F33:F54)</f>
        <v>6036492480.1866989</v>
      </c>
      <c r="G56" s="265">
        <v>92335113</v>
      </c>
      <c r="H56" s="265">
        <f>D56/G56*1000</f>
        <v>37646.087668013068</v>
      </c>
      <c r="I56" s="265">
        <f>SUM(I38:I54)</f>
        <v>58228135.37827</v>
      </c>
      <c r="J56" s="265">
        <f t="shared" ref="J56:V56" si="15">SUM(J38:J54)</f>
        <v>238116696.38891882</v>
      </c>
      <c r="K56" s="265">
        <f t="shared" si="15"/>
        <v>296344831.76718885</v>
      </c>
      <c r="L56" s="265">
        <f t="shared" si="15"/>
        <v>201617973.84866333</v>
      </c>
      <c r="M56" s="265">
        <f t="shared" si="15"/>
        <v>305947417.89553195</v>
      </c>
      <c r="N56" s="265">
        <f t="shared" si="15"/>
        <v>507565391.74419528</v>
      </c>
      <c r="O56" s="265">
        <f t="shared" si="15"/>
        <v>326149440.70473999</v>
      </c>
      <c r="P56" s="265">
        <f t="shared" si="15"/>
        <v>502184806.69669741</v>
      </c>
      <c r="Q56" s="265">
        <f t="shared" si="15"/>
        <v>828334247.4014374</v>
      </c>
      <c r="R56" s="265">
        <f t="shared" si="15"/>
        <v>402573604.63367152</v>
      </c>
      <c r="S56" s="265">
        <f t="shared" si="15"/>
        <v>429245746.30279607</v>
      </c>
      <c r="T56" s="265">
        <f t="shared" si="15"/>
        <v>831819350.93646753</v>
      </c>
      <c r="U56" s="265">
        <f t="shared" si="15"/>
        <v>616015955.46232212</v>
      </c>
      <c r="V56" s="265">
        <f t="shared" si="15"/>
        <v>11548191402.098955</v>
      </c>
      <c r="W56" s="290">
        <f>U56/V56</f>
        <v>5.3343067672948115E-2</v>
      </c>
    </row>
    <row r="57" spans="2:23"/>
    <row r="58" spans="2:23">
      <c r="K58" t="s">
        <v>613</v>
      </c>
      <c r="L58" s="291">
        <f>SUM(G26:J26)</f>
        <v>2464063821.8492885</v>
      </c>
    </row>
    <row r="59" spans="2:23">
      <c r="L59" s="291">
        <f>SUM(G64:J80)</f>
        <v>2464063821.8492889</v>
      </c>
    </row>
    <row r="60" spans="2:23"/>
    <row r="61" spans="2:23"/>
    <row r="62" spans="2:23" ht="18" thickBot="1">
      <c r="B62" s="292" t="s">
        <v>587</v>
      </c>
    </row>
    <row r="63" spans="2:23" ht="47.4" customHeight="1" thickBot="1">
      <c r="B63" s="271" t="s">
        <v>572</v>
      </c>
      <c r="C63" s="272" t="s">
        <v>240</v>
      </c>
      <c r="D63" s="270" t="s">
        <v>582</v>
      </c>
      <c r="E63" s="270" t="s">
        <v>583</v>
      </c>
      <c r="F63" s="270" t="s">
        <v>584</v>
      </c>
      <c r="G63" s="270">
        <v>2013</v>
      </c>
      <c r="H63" s="270">
        <v>2014</v>
      </c>
      <c r="I63" s="270">
        <v>2015</v>
      </c>
      <c r="J63" s="270">
        <v>2016</v>
      </c>
      <c r="K63" s="270" t="s">
        <v>611</v>
      </c>
      <c r="L63" s="270" t="s">
        <v>585</v>
      </c>
      <c r="M63" s="72" t="s">
        <v>586</v>
      </c>
    </row>
    <row r="64" spans="2:23" ht="17.399999999999999" customHeight="1">
      <c r="B64" s="341" t="s">
        <v>97</v>
      </c>
      <c r="C64" s="342">
        <v>150</v>
      </c>
      <c r="D64" s="343">
        <v>934229931.29925907</v>
      </c>
      <c r="E64" s="344">
        <v>10137737</v>
      </c>
      <c r="F64" s="343">
        <v>92153.695770491875</v>
      </c>
      <c r="G64" s="343">
        <v>18950245.493465811</v>
      </c>
      <c r="H64" s="343">
        <v>76851965.248031288</v>
      </c>
      <c r="I64" s="343">
        <v>112619881.74686454</v>
      </c>
      <c r="J64" s="343">
        <v>194604815.9833174</v>
      </c>
      <c r="K64" s="343">
        <v>100756727.11791974</v>
      </c>
      <c r="L64" s="344">
        <v>1018224367.0906494</v>
      </c>
      <c r="M64" s="345">
        <v>9.8953364675223573E-2</v>
      </c>
    </row>
    <row r="65" spans="2:13" ht="17.399999999999999" customHeight="1">
      <c r="B65" s="219" t="s">
        <v>88</v>
      </c>
      <c r="C65" s="155">
        <v>219</v>
      </c>
      <c r="D65" s="337">
        <v>796518682.92886901</v>
      </c>
      <c r="E65" s="268">
        <v>7102438</v>
      </c>
      <c r="F65" s="337">
        <v>112147.22084569679</v>
      </c>
      <c r="G65" s="337">
        <v>16367663.013945812</v>
      </c>
      <c r="H65" s="337">
        <v>32655198.624021288</v>
      </c>
      <c r="I65" s="337">
        <v>39630536.580804542</v>
      </c>
      <c r="J65" s="337">
        <v>62694284.782517403</v>
      </c>
      <c r="K65" s="337">
        <v>37836920.75032226</v>
      </c>
      <c r="L65" s="268">
        <v>455654312.1101864</v>
      </c>
      <c r="M65" s="339">
        <v>8.3038653963561151E-2</v>
      </c>
    </row>
    <row r="66" spans="2:13" ht="17.399999999999999" customHeight="1">
      <c r="B66" s="219" t="s">
        <v>112</v>
      </c>
      <c r="C66" s="155">
        <v>147</v>
      </c>
      <c r="D66" s="337">
        <v>455727081.5087924</v>
      </c>
      <c r="E66" s="268">
        <v>12609803</v>
      </c>
      <c r="F66" s="337">
        <v>36140.697956089592</v>
      </c>
      <c r="G66" s="337">
        <v>20692334.343465813</v>
      </c>
      <c r="H66" s="337">
        <v>72082364.92836462</v>
      </c>
      <c r="I66" s="337">
        <v>112022784.79686454</v>
      </c>
      <c r="J66" s="337">
        <v>99681116.392517403</v>
      </c>
      <c r="K66" s="337">
        <v>76119650.115303099</v>
      </c>
      <c r="L66" s="268">
        <v>1881381140.5255404</v>
      </c>
      <c r="M66" s="339">
        <v>4.0459452088501338E-2</v>
      </c>
    </row>
    <row r="67" spans="2:13" ht="17.399999999999999" customHeight="1">
      <c r="B67" s="219" t="s">
        <v>92</v>
      </c>
      <c r="C67" s="155">
        <v>91</v>
      </c>
      <c r="D67" s="337">
        <v>204030765.16480905</v>
      </c>
      <c r="E67" s="268">
        <v>3229163</v>
      </c>
      <c r="F67" s="337">
        <v>63183.792569408557</v>
      </c>
      <c r="G67" s="337">
        <v>16345433.353465812</v>
      </c>
      <c r="H67" s="337">
        <v>22212069.735031288</v>
      </c>
      <c r="I67" s="337">
        <v>33066687.746864546</v>
      </c>
      <c r="J67" s="337">
        <v>34558756.501867406</v>
      </c>
      <c r="K67" s="337">
        <v>26545736.834307265</v>
      </c>
      <c r="L67" s="268">
        <v>208546726.68205774</v>
      </c>
      <c r="M67" s="339">
        <v>0.12728915604020899</v>
      </c>
    </row>
    <row r="68" spans="2:13" ht="17.399999999999999" customHeight="1">
      <c r="B68" s="219" t="s">
        <v>93</v>
      </c>
      <c r="C68" s="155">
        <v>109</v>
      </c>
      <c r="D68" s="337">
        <v>185364843.89445907</v>
      </c>
      <c r="E68" s="268">
        <v>2744671</v>
      </c>
      <c r="F68" s="337">
        <v>67536.270793278702</v>
      </c>
      <c r="G68" s="337">
        <v>14953856.493465813</v>
      </c>
      <c r="H68" s="337">
        <v>21536945.935031287</v>
      </c>
      <c r="I68" s="337">
        <v>35512917.210235976</v>
      </c>
      <c r="J68" s="337">
        <v>31579881.562745977</v>
      </c>
      <c r="K68" s="337">
        <v>25895900.300369762</v>
      </c>
      <c r="L68" s="268">
        <v>186762077.96572542</v>
      </c>
      <c r="M68" s="339">
        <v>0.13865716521489002</v>
      </c>
    </row>
    <row r="69" spans="2:13" ht="17.399999999999999" customHeight="1">
      <c r="B69" s="219" t="s">
        <v>101</v>
      </c>
      <c r="C69" s="155">
        <v>51</v>
      </c>
      <c r="D69" s="337">
        <v>197538520.05350906</v>
      </c>
      <c r="E69" s="268">
        <v>4109571</v>
      </c>
      <c r="F69" s="337">
        <v>48067.917564511983</v>
      </c>
      <c r="G69" s="337">
        <v>14838650.493465813</v>
      </c>
      <c r="H69" s="337">
        <v>18525856.935031287</v>
      </c>
      <c r="I69" s="337">
        <v>51174311.746864542</v>
      </c>
      <c r="J69" s="337">
        <v>27061721.050567407</v>
      </c>
      <c r="K69" s="337">
        <v>27900135.056482263</v>
      </c>
      <c r="L69" s="268">
        <v>333172764.03670734</v>
      </c>
      <c r="M69" s="339">
        <v>8.3740743746413687E-2</v>
      </c>
    </row>
    <row r="70" spans="2:13" ht="17.399999999999999" customHeight="1">
      <c r="B70" s="219" t="s">
        <v>90</v>
      </c>
      <c r="C70" s="155">
        <v>68</v>
      </c>
      <c r="D70" s="337">
        <v>177813557.78545907</v>
      </c>
      <c r="E70" s="268">
        <v>2429224</v>
      </c>
      <c r="F70" s="337">
        <v>73197.678676589348</v>
      </c>
      <c r="G70" s="337">
        <v>15305704.493465813</v>
      </c>
      <c r="H70" s="337">
        <v>19368629.935031287</v>
      </c>
      <c r="I70" s="337">
        <v>31794074.746864546</v>
      </c>
      <c r="J70" s="337">
        <v>29114615.782517407</v>
      </c>
      <c r="K70" s="337">
        <v>23895756.239469763</v>
      </c>
      <c r="L70" s="268">
        <v>130475588.11306998</v>
      </c>
      <c r="M70" s="339">
        <v>0.18314350281955985</v>
      </c>
    </row>
    <row r="71" spans="2:13" ht="17.399999999999999" customHeight="1">
      <c r="B71" s="219" t="s">
        <v>100</v>
      </c>
      <c r="C71" s="155">
        <v>65</v>
      </c>
      <c r="D71" s="337">
        <v>207716059.67067906</v>
      </c>
      <c r="E71" s="268">
        <v>4468563</v>
      </c>
      <c r="F71" s="337">
        <v>46483.860621564265</v>
      </c>
      <c r="G71" s="337">
        <v>14162374.493465813</v>
      </c>
      <c r="H71" s="337">
        <v>18815616.935031287</v>
      </c>
      <c r="I71" s="337">
        <v>53900657.746864542</v>
      </c>
      <c r="J71" s="337">
        <v>27296641.050567407</v>
      </c>
      <c r="K71" s="337">
        <v>28543822.556482263</v>
      </c>
      <c r="L71" s="268">
        <v>461427166.99339223</v>
      </c>
      <c r="M71" s="339">
        <v>6.1859865647856442E-2</v>
      </c>
    </row>
    <row r="72" spans="2:13" ht="17.399999999999999" customHeight="1">
      <c r="B72" s="219" t="s">
        <v>95</v>
      </c>
      <c r="C72" s="155">
        <v>69</v>
      </c>
      <c r="D72" s="337">
        <v>177583910.05350906</v>
      </c>
      <c r="E72" s="268">
        <v>5420411</v>
      </c>
      <c r="F72" s="337">
        <v>32762.074693876359</v>
      </c>
      <c r="G72" s="337">
        <v>14650516.493465813</v>
      </c>
      <c r="H72" s="337">
        <v>20059394.935031287</v>
      </c>
      <c r="I72" s="337">
        <v>33927792.746864542</v>
      </c>
      <c r="J72" s="337">
        <v>31715384.050567407</v>
      </c>
      <c r="K72" s="337">
        <v>25088272.056482263</v>
      </c>
      <c r="L72" s="268">
        <v>240303495.80133319</v>
      </c>
      <c r="M72" s="339">
        <v>0.10440244313891947</v>
      </c>
    </row>
    <row r="73" spans="2:13" ht="17.399999999999999" customHeight="1">
      <c r="B73" s="219" t="s">
        <v>87</v>
      </c>
      <c r="C73" s="155">
        <v>147</v>
      </c>
      <c r="D73" s="337">
        <v>206963894.59300905</v>
      </c>
      <c r="E73" s="268">
        <v>4101322</v>
      </c>
      <c r="F73" s="337">
        <v>50462.727528589334</v>
      </c>
      <c r="G73" s="337">
        <v>17961078.353465814</v>
      </c>
      <c r="H73" s="337">
        <v>20916029.367531288</v>
      </c>
      <c r="I73" s="337">
        <v>32339846.993864547</v>
      </c>
      <c r="J73" s="337">
        <v>29487534.050567407</v>
      </c>
      <c r="K73" s="337">
        <v>25176122.191357262</v>
      </c>
      <c r="L73" s="268">
        <v>250344509.37730485</v>
      </c>
      <c r="M73" s="339">
        <v>0.10056590517594799</v>
      </c>
    </row>
    <row r="74" spans="2:13" ht="17.399999999999999" customHeight="1">
      <c r="B74" s="219" t="s">
        <v>137</v>
      </c>
      <c r="C74" s="155">
        <v>23</v>
      </c>
      <c r="D74" s="337">
        <v>185582792.56545907</v>
      </c>
      <c r="E74" s="268">
        <v>1616867</v>
      </c>
      <c r="F74" s="337">
        <v>114779.25677588761</v>
      </c>
      <c r="G74" s="337">
        <v>14608035.973465813</v>
      </c>
      <c r="H74" s="337">
        <v>18913467.935031287</v>
      </c>
      <c r="I74" s="337">
        <v>31276061.678293116</v>
      </c>
      <c r="J74" s="337">
        <v>32766464.371088836</v>
      </c>
      <c r="K74" s="337">
        <v>24391007.489469763</v>
      </c>
      <c r="L74" s="268">
        <v>227924970.74720651</v>
      </c>
      <c r="M74" s="339">
        <v>0.10701331850349137</v>
      </c>
    </row>
    <row r="75" spans="2:13" ht="17.399999999999999" customHeight="1">
      <c r="B75" s="219" t="s">
        <v>70</v>
      </c>
      <c r="C75" s="155">
        <v>242</v>
      </c>
      <c r="D75" s="337">
        <v>1331698671.4955392</v>
      </c>
      <c r="E75" s="268">
        <v>11855975</v>
      </c>
      <c r="F75" s="337">
        <v>112322.9992890116</v>
      </c>
      <c r="G75" s="337">
        <v>41994260.213465817</v>
      </c>
      <c r="H75" s="337">
        <v>62438211.995871283</v>
      </c>
      <c r="I75" s="337">
        <v>96524878.226864547</v>
      </c>
      <c r="J75" s="337">
        <v>83628237.029207408</v>
      </c>
      <c r="K75" s="337">
        <v>71146396.86635226</v>
      </c>
      <c r="L75" s="268">
        <v>4290630470.8923554</v>
      </c>
      <c r="M75" s="339">
        <v>1.6581804783471692E-2</v>
      </c>
    </row>
    <row r="76" spans="2:13" ht="17.399999999999999" customHeight="1">
      <c r="B76" s="219" t="s">
        <v>91</v>
      </c>
      <c r="C76" s="155">
        <v>89</v>
      </c>
      <c r="D76" s="337">
        <v>206944848.10261905</v>
      </c>
      <c r="E76" s="268">
        <v>4297323</v>
      </c>
      <c r="F76" s="337">
        <v>48156.689199908658</v>
      </c>
      <c r="G76" s="337">
        <v>14889323.493465813</v>
      </c>
      <c r="H76" s="337">
        <v>20786598.495031286</v>
      </c>
      <c r="I76" s="337">
        <v>34966528.646864548</v>
      </c>
      <c r="J76" s="337">
        <v>32446372.839677408</v>
      </c>
      <c r="K76" s="337">
        <v>25772205.868759762</v>
      </c>
      <c r="L76" s="268">
        <v>438917210.64570105</v>
      </c>
      <c r="M76" s="339">
        <v>5.8717692639223891E-2</v>
      </c>
    </row>
    <row r="77" spans="2:13" ht="17.399999999999999" customHeight="1">
      <c r="B77" s="219" t="s">
        <v>98</v>
      </c>
      <c r="C77" s="155">
        <v>109</v>
      </c>
      <c r="D77" s="337">
        <v>200421676.07324907</v>
      </c>
      <c r="E77" s="268">
        <v>4748372</v>
      </c>
      <c r="F77" s="337">
        <v>42208.503477244216</v>
      </c>
      <c r="G77" s="337">
        <v>15930829.781255813</v>
      </c>
      <c r="H77" s="337">
        <v>20016381.935031287</v>
      </c>
      <c r="I77" s="337">
        <v>31746797.746864546</v>
      </c>
      <c r="J77" s="337">
        <v>30286561.782517407</v>
      </c>
      <c r="K77" s="337">
        <v>24495142.811417263</v>
      </c>
      <c r="L77" s="268">
        <v>359706534.53073072</v>
      </c>
      <c r="M77" s="339">
        <v>6.8097575273057973E-2</v>
      </c>
    </row>
    <row r="78" spans="2:13" ht="17.399999999999999" customHeight="1">
      <c r="B78" s="219" t="s">
        <v>99</v>
      </c>
      <c r="C78" s="155">
        <v>81</v>
      </c>
      <c r="D78" s="337">
        <v>240140090.84850907</v>
      </c>
      <c r="E78" s="268">
        <v>6800180</v>
      </c>
      <c r="F78" s="337">
        <v>35313.784465780183</v>
      </c>
      <c r="G78" s="337">
        <v>15383107.293465814</v>
      </c>
      <c r="H78" s="337">
        <v>24931539.935031287</v>
      </c>
      <c r="I78" s="337">
        <v>36487481.545864545</v>
      </c>
      <c r="J78" s="337">
        <v>30728723.563138835</v>
      </c>
      <c r="K78" s="337">
        <v>26882713.084375117</v>
      </c>
      <c r="L78" s="268">
        <v>732977309.90612817</v>
      </c>
      <c r="M78" s="339">
        <v>3.6676050842307746E-2</v>
      </c>
    </row>
    <row r="79" spans="2:13" ht="17.399999999999999" customHeight="1">
      <c r="B79" s="219" t="s">
        <v>89</v>
      </c>
      <c r="C79" s="155">
        <v>71</v>
      </c>
      <c r="D79" s="337">
        <v>173058998.36350906</v>
      </c>
      <c r="E79" s="268">
        <v>3407353</v>
      </c>
      <c r="F79" s="337">
        <v>50789.864849197911</v>
      </c>
      <c r="G79" s="337">
        <v>15060553.493465813</v>
      </c>
      <c r="H79" s="337">
        <v>19220473.935031287</v>
      </c>
      <c r="I79" s="337">
        <v>31514474.746864546</v>
      </c>
      <c r="J79" s="337">
        <v>27157790.360567406</v>
      </c>
      <c r="K79" s="337">
        <v>23238323.133982264</v>
      </c>
      <c r="L79" s="268">
        <v>230651364.45578188</v>
      </c>
      <c r="M79" s="339">
        <v>0.10075085915408612</v>
      </c>
    </row>
    <row r="80" spans="2:13" ht="17.399999999999999" customHeight="1" thickBot="1">
      <c r="B80" s="222" t="s">
        <v>94</v>
      </c>
      <c r="C80" s="259">
        <v>15</v>
      </c>
      <c r="D80" s="338">
        <v>155158155.78545907</v>
      </c>
      <c r="E80" s="269">
        <v>3256140</v>
      </c>
      <c r="F80" s="338">
        <v>47650.947374946736</v>
      </c>
      <c r="G80" s="338">
        <v>14250864.493465813</v>
      </c>
      <c r="H80" s="338">
        <v>18234644.935031287</v>
      </c>
      <c r="I80" s="338">
        <v>29828532.746864546</v>
      </c>
      <c r="J80" s="338">
        <v>27010449.782517407</v>
      </c>
      <c r="K80" s="338">
        <v>22331122.989469763</v>
      </c>
      <c r="L80" s="269">
        <v>101091392.2250838</v>
      </c>
      <c r="M80" s="340">
        <v>0.22090034075056236</v>
      </c>
    </row>
    <row r="81" spans="2:23" ht="15" thickBot="1">
      <c r="B81" s="221"/>
      <c r="C81" s="260"/>
      <c r="D81" s="260"/>
      <c r="E81" s="260"/>
      <c r="F81" s="260"/>
      <c r="G81" s="260"/>
      <c r="H81" s="260"/>
      <c r="I81" s="260"/>
      <c r="J81" s="260"/>
      <c r="K81" s="260"/>
      <c r="L81" s="260"/>
      <c r="M81" s="221"/>
    </row>
    <row r="82" spans="2:23" ht="15" thickBot="1">
      <c r="B82" s="261" t="s">
        <v>202</v>
      </c>
      <c r="C82" s="262" t="s">
        <v>612</v>
      </c>
      <c r="D82" s="265">
        <v>6036492480.186698</v>
      </c>
      <c r="E82" s="265">
        <v>92335113</v>
      </c>
      <c r="F82" s="265">
        <v>65375.914796212979</v>
      </c>
      <c r="G82" s="265">
        <v>296344831.76718885</v>
      </c>
      <c r="H82" s="265">
        <v>507565391.74419528</v>
      </c>
      <c r="I82" s="265">
        <v>828334247.4014374</v>
      </c>
      <c r="J82" s="265">
        <v>831819350.93646753</v>
      </c>
      <c r="K82" s="265">
        <v>616015955.46232235</v>
      </c>
      <c r="L82" s="265">
        <v>11548191402.098953</v>
      </c>
      <c r="M82" s="290">
        <v>5.3343067672948143E-2</v>
      </c>
    </row>
    <row r="83" spans="2:23">
      <c r="M83" s="346" t="s">
        <v>614</v>
      </c>
    </row>
    <row r="84" spans="2:23"/>
    <row r="85" spans="2:23"/>
    <row r="86" spans="2:23" s="238" customFormat="1"/>
    <row r="87" spans="2:23"/>
    <row r="88" spans="2:23"/>
    <row r="89" spans="2:23"/>
    <row r="90" spans="2:23"/>
    <row r="91" spans="2:23" ht="18" thickBot="1">
      <c r="B91" s="292" t="s">
        <v>587</v>
      </c>
    </row>
    <row r="92" spans="2:23" ht="43.2">
      <c r="B92" s="271" t="s">
        <v>572</v>
      </c>
      <c r="C92" s="272" t="s">
        <v>240</v>
      </c>
      <c r="D92" s="270" t="s">
        <v>582</v>
      </c>
      <c r="E92" s="270" t="s">
        <v>601</v>
      </c>
      <c r="F92" s="270" t="s">
        <v>602</v>
      </c>
      <c r="G92" s="270" t="s">
        <v>583</v>
      </c>
      <c r="H92" s="270" t="s">
        <v>584</v>
      </c>
      <c r="I92" s="270">
        <v>2013</v>
      </c>
      <c r="J92" s="270" t="s">
        <v>603</v>
      </c>
      <c r="K92" s="270" t="s">
        <v>607</v>
      </c>
      <c r="L92" s="270">
        <v>2014</v>
      </c>
      <c r="M92" s="270" t="s">
        <v>604</v>
      </c>
      <c r="N92" s="270" t="s">
        <v>608</v>
      </c>
      <c r="O92" s="270">
        <v>2015</v>
      </c>
      <c r="P92" s="270" t="s">
        <v>605</v>
      </c>
      <c r="Q92" s="270" t="s">
        <v>609</v>
      </c>
      <c r="R92" s="270">
        <v>2016</v>
      </c>
      <c r="S92" s="270" t="s">
        <v>606</v>
      </c>
      <c r="T92" s="270" t="s">
        <v>610</v>
      </c>
      <c r="U92" s="270" t="s">
        <v>588</v>
      </c>
      <c r="V92" s="270" t="s">
        <v>585</v>
      </c>
      <c r="W92" s="72" t="s">
        <v>586</v>
      </c>
    </row>
    <row r="93" spans="2:23" ht="17.399999999999999" customHeight="1">
      <c r="B93" s="219" t="s">
        <v>615</v>
      </c>
      <c r="C93" s="155">
        <v>20</v>
      </c>
      <c r="D93" s="267">
        <v>19857452.493000001</v>
      </c>
      <c r="E93" s="337">
        <v>0</v>
      </c>
      <c r="F93" s="347">
        <f>SUM(D93)</f>
        <v>19857452.493000001</v>
      </c>
      <c r="G93" s="268">
        <v>0</v>
      </c>
      <c r="H93" s="347">
        <v>0</v>
      </c>
      <c r="I93" s="267">
        <v>6819249</v>
      </c>
      <c r="J93" s="337">
        <v>0</v>
      </c>
      <c r="K93" s="347">
        <f>SUM(I93:J93)</f>
        <v>6819249</v>
      </c>
      <c r="L93" s="267">
        <v>5181861</v>
      </c>
      <c r="M93" s="337">
        <v>0</v>
      </c>
      <c r="N93" s="347">
        <f>SUM(L93:M93)</f>
        <v>5181861</v>
      </c>
      <c r="O93" s="267">
        <v>3834598</v>
      </c>
      <c r="P93" s="337">
        <v>0</v>
      </c>
      <c r="Q93" s="347">
        <f>SUM(O93:P93)</f>
        <v>3834598</v>
      </c>
      <c r="R93" s="267">
        <v>3951040.4929999998</v>
      </c>
      <c r="S93" s="337">
        <v>0</v>
      </c>
      <c r="T93" s="347">
        <f>SUM(R93:S93)</f>
        <v>3951040.4929999998</v>
      </c>
      <c r="U93" s="347">
        <f>AVERAGE(T93,Q93,N93,K93)</f>
        <v>4946687.1232500002</v>
      </c>
      <c r="V93" s="268">
        <v>0</v>
      </c>
      <c r="W93" s="286">
        <v>0</v>
      </c>
    </row>
    <row r="94" spans="2:23" ht="17.399999999999999" customHeight="1">
      <c r="B94" s="219" t="s">
        <v>97</v>
      </c>
      <c r="C94" s="155">
        <v>150</v>
      </c>
      <c r="D94" s="268">
        <v>783616006.51380002</v>
      </c>
      <c r="E94" s="337">
        <f>$D$29</f>
        <v>149445839.34469438</v>
      </c>
      <c r="F94" s="347">
        <f t="shared" ref="F94:F110" si="16">SUM(D94:E94)</f>
        <v>933061845.8584944</v>
      </c>
      <c r="G94" s="268">
        <v>10137737</v>
      </c>
      <c r="H94" s="347">
        <f>F94/G94*1000</f>
        <v>92038.474253030465</v>
      </c>
      <c r="I94" s="268">
        <v>4943381</v>
      </c>
      <c r="J94" s="337">
        <f>$G$29</f>
        <v>13605732.199348167</v>
      </c>
      <c r="K94" s="347">
        <f>SUM(I94:J94)</f>
        <v>18549113.199348167</v>
      </c>
      <c r="L94" s="268">
        <v>58855058.313000001</v>
      </c>
      <c r="M94" s="337">
        <f>$H$29</f>
        <v>17692091.58209011</v>
      </c>
      <c r="N94" s="347">
        <f>SUM(L94:M94)</f>
        <v>76547149.895090103</v>
      </c>
      <c r="O94" s="268">
        <v>83079599</v>
      </c>
      <c r="P94" s="337">
        <f>$I$29</f>
        <v>29314718.158629254</v>
      </c>
      <c r="Q94" s="347">
        <f>SUM(O94:P94)</f>
        <v>112394317.15862925</v>
      </c>
      <c r="R94" s="268">
        <v>169355066.2008</v>
      </c>
      <c r="S94" s="337">
        <f>$J$29</f>
        <v>25017335.635870352</v>
      </c>
      <c r="T94" s="347">
        <f>SUM(R94:S94)</f>
        <v>194372401.83667034</v>
      </c>
      <c r="U94" s="347">
        <f>AVERAGE(T94,Q94,N94,K94)</f>
        <v>100465745.52243446</v>
      </c>
      <c r="V94" s="268">
        <v>1018224367.0906494</v>
      </c>
      <c r="W94" s="286">
        <f t="shared" ref="W94:W110" si="17">U94/V94</f>
        <v>9.8667591121879228E-2</v>
      </c>
    </row>
    <row r="95" spans="2:23" ht="17.399999999999999" customHeight="1">
      <c r="B95" s="219" t="s">
        <v>88</v>
      </c>
      <c r="C95" s="155">
        <v>219</v>
      </c>
      <c r="D95" s="268">
        <v>645904758.14340997</v>
      </c>
      <c r="E95" s="337">
        <f t="shared" ref="E95:E110" si="18">$D$29</f>
        <v>149445839.34469438</v>
      </c>
      <c r="F95" s="347">
        <f t="shared" si="16"/>
        <v>795350597.48810434</v>
      </c>
      <c r="G95" s="268">
        <v>7102438</v>
      </c>
      <c r="H95" s="347">
        <f t="shared" ref="H95:H110" si="19">F95/G95*1000</f>
        <v>111982.75824274767</v>
      </c>
      <c r="I95" s="268">
        <v>2360798.5204799999</v>
      </c>
      <c r="J95" s="337">
        <f t="shared" ref="J95:J110" si="20">$G$29</f>
        <v>13605732.199348167</v>
      </c>
      <c r="K95" s="347">
        <f t="shared" ref="K95:K110" si="21">SUM(I95:J95)</f>
        <v>15966530.719828166</v>
      </c>
      <c r="L95" s="268">
        <v>14658291.688990001</v>
      </c>
      <c r="M95" s="337">
        <f t="shared" ref="M95:M110" si="22">$H$29</f>
        <v>17692091.58209011</v>
      </c>
      <c r="N95" s="347">
        <f t="shared" ref="N95:N110" si="23">SUM(L95:M95)</f>
        <v>32350383.27108011</v>
      </c>
      <c r="O95" s="268">
        <v>10090253.833939999</v>
      </c>
      <c r="P95" s="337">
        <f t="shared" ref="P95:P110" si="24">$I$29</f>
        <v>29314718.158629254</v>
      </c>
      <c r="Q95" s="347">
        <f t="shared" ref="Q95:Q110" si="25">SUM(O95:P95)</f>
        <v>39404971.992569253</v>
      </c>
      <c r="R95" s="268">
        <v>37444535</v>
      </c>
      <c r="S95" s="337">
        <f t="shared" ref="S95:S110" si="26">$J$29</f>
        <v>25017335.635870352</v>
      </c>
      <c r="T95" s="347">
        <f t="shared" ref="T95:T109" si="27">SUM(R95:S95)</f>
        <v>62461870.635870352</v>
      </c>
      <c r="U95" s="347">
        <f t="shared" ref="U95:U110" si="28">AVERAGE(T95,Q95,N95,K95)</f>
        <v>37545939.154836968</v>
      </c>
      <c r="V95" s="268">
        <v>455654312.1101864</v>
      </c>
      <c r="W95" s="286">
        <f t="shared" si="17"/>
        <v>8.2400052313688202E-2</v>
      </c>
    </row>
    <row r="96" spans="2:23" ht="17.399999999999999" customHeight="1">
      <c r="B96" s="219" t="s">
        <v>112</v>
      </c>
      <c r="C96" s="155">
        <v>147</v>
      </c>
      <c r="D96" s="268">
        <v>305113156.72333336</v>
      </c>
      <c r="E96" s="337">
        <f t="shared" si="18"/>
        <v>149445839.34469438</v>
      </c>
      <c r="F96" s="347">
        <f t="shared" si="16"/>
        <v>454558996.06802773</v>
      </c>
      <c r="G96" s="268">
        <v>12609803</v>
      </c>
      <c r="H96" s="347">
        <f t="shared" si="19"/>
        <v>36048.064832418699</v>
      </c>
      <c r="I96" s="268">
        <v>6685469.8499999996</v>
      </c>
      <c r="J96" s="337">
        <f t="shared" si="20"/>
        <v>13605732.199348167</v>
      </c>
      <c r="K96" s="347">
        <f t="shared" si="21"/>
        <v>20291202.049348168</v>
      </c>
      <c r="L96" s="268">
        <v>54085457.993333332</v>
      </c>
      <c r="M96" s="337">
        <f t="shared" si="22"/>
        <v>17692091.58209011</v>
      </c>
      <c r="N96" s="347">
        <f t="shared" si="23"/>
        <v>71777549.575423449</v>
      </c>
      <c r="O96" s="268">
        <v>82482502.049999997</v>
      </c>
      <c r="P96" s="337">
        <f t="shared" si="24"/>
        <v>29314718.158629254</v>
      </c>
      <c r="Q96" s="347">
        <f t="shared" si="25"/>
        <v>111797220.20862925</v>
      </c>
      <c r="R96" s="268">
        <v>74431366.609999999</v>
      </c>
      <c r="S96" s="337">
        <f t="shared" si="26"/>
        <v>25017335.635870352</v>
      </c>
      <c r="T96" s="347">
        <f t="shared" si="27"/>
        <v>99448702.245870352</v>
      </c>
      <c r="U96" s="347">
        <f t="shared" si="28"/>
        <v>75828668.519817814</v>
      </c>
      <c r="V96" s="268">
        <v>1881381140.5255404</v>
      </c>
      <c r="W96" s="286">
        <f t="shared" si="17"/>
        <v>4.0304788267748887E-2</v>
      </c>
    </row>
    <row r="97" spans="2:23" ht="17.399999999999999" customHeight="1">
      <c r="B97" s="219" t="s">
        <v>92</v>
      </c>
      <c r="C97" s="155">
        <v>91</v>
      </c>
      <c r="D97" s="268">
        <v>53416840.379349992</v>
      </c>
      <c r="E97" s="337">
        <f t="shared" si="18"/>
        <v>149445839.34469438</v>
      </c>
      <c r="F97" s="347">
        <f t="shared" si="16"/>
        <v>202862679.72404438</v>
      </c>
      <c r="G97" s="268">
        <v>3229163</v>
      </c>
      <c r="H97" s="347">
        <f t="shared" si="19"/>
        <v>62822.062473787912</v>
      </c>
      <c r="I97" s="268">
        <v>2338568.86</v>
      </c>
      <c r="J97" s="337">
        <f t="shared" si="20"/>
        <v>13605732.199348167</v>
      </c>
      <c r="K97" s="347">
        <f t="shared" si="21"/>
        <v>15944301.059348166</v>
      </c>
      <c r="L97" s="268">
        <v>4215162.8</v>
      </c>
      <c r="M97" s="337">
        <f t="shared" si="22"/>
        <v>17692091.58209011</v>
      </c>
      <c r="N97" s="347">
        <f t="shared" si="23"/>
        <v>21907254.38209011</v>
      </c>
      <c r="O97" s="268">
        <v>3526405</v>
      </c>
      <c r="P97" s="337">
        <f t="shared" si="24"/>
        <v>29314718.158629254</v>
      </c>
      <c r="Q97" s="347">
        <f t="shared" si="25"/>
        <v>32841123.158629254</v>
      </c>
      <c r="R97" s="268">
        <v>9309006.719349999</v>
      </c>
      <c r="S97" s="337">
        <f t="shared" si="26"/>
        <v>25017335.635870352</v>
      </c>
      <c r="T97" s="347">
        <f t="shared" si="27"/>
        <v>34326342.355220348</v>
      </c>
      <c r="U97" s="347">
        <f t="shared" si="28"/>
        <v>26254755.238821968</v>
      </c>
      <c r="V97" s="268">
        <v>208546726.68205774</v>
      </c>
      <c r="W97" s="286">
        <f t="shared" si="17"/>
        <v>0.12589387355309081</v>
      </c>
    </row>
    <row r="98" spans="2:23" ht="17.399999999999999" customHeight="1">
      <c r="B98" s="219" t="s">
        <v>93</v>
      </c>
      <c r="C98" s="155">
        <v>109</v>
      </c>
      <c r="D98" s="268">
        <v>34750919.108999997</v>
      </c>
      <c r="E98" s="337">
        <f t="shared" si="18"/>
        <v>149445839.34469438</v>
      </c>
      <c r="F98" s="347">
        <f t="shared" si="16"/>
        <v>184196758.45369437</v>
      </c>
      <c r="G98" s="268">
        <v>2744671</v>
      </c>
      <c r="H98" s="347">
        <f t="shared" si="19"/>
        <v>67110.68774862065</v>
      </c>
      <c r="I98" s="268">
        <v>946992</v>
      </c>
      <c r="J98" s="337">
        <f t="shared" si="20"/>
        <v>13605732.199348167</v>
      </c>
      <c r="K98" s="347">
        <f t="shared" si="21"/>
        <v>14552724.199348167</v>
      </c>
      <c r="L98" s="268">
        <v>3540039</v>
      </c>
      <c r="M98" s="337">
        <f t="shared" si="22"/>
        <v>17692091.58209011</v>
      </c>
      <c r="N98" s="347">
        <f t="shared" si="23"/>
        <v>21232130.58209011</v>
      </c>
      <c r="O98" s="268">
        <v>5972634.4633714287</v>
      </c>
      <c r="P98" s="337">
        <f t="shared" si="24"/>
        <v>29314718.158629254</v>
      </c>
      <c r="Q98" s="347">
        <f t="shared" si="25"/>
        <v>35287352.622000679</v>
      </c>
      <c r="R98" s="268">
        <v>6330131.780228571</v>
      </c>
      <c r="S98" s="337">
        <f t="shared" si="26"/>
        <v>25017335.635870352</v>
      </c>
      <c r="T98" s="347">
        <f t="shared" si="27"/>
        <v>31347467.416098922</v>
      </c>
      <c r="U98" s="347">
        <f t="shared" si="28"/>
        <v>25604918.70488447</v>
      </c>
      <c r="V98" s="268">
        <v>186762077.96572542</v>
      </c>
      <c r="W98" s="286">
        <f t="shared" si="17"/>
        <v>0.13709913159985018</v>
      </c>
    </row>
    <row r="99" spans="2:23" ht="17.399999999999999" customHeight="1">
      <c r="B99" s="219" t="s">
        <v>101</v>
      </c>
      <c r="C99" s="155">
        <v>51</v>
      </c>
      <c r="D99" s="268">
        <v>46924595.26805</v>
      </c>
      <c r="E99" s="337">
        <f t="shared" si="18"/>
        <v>149445839.34469438</v>
      </c>
      <c r="F99" s="347">
        <f t="shared" si="16"/>
        <v>196370434.61274439</v>
      </c>
      <c r="G99" s="268">
        <v>4109571</v>
      </c>
      <c r="H99" s="347">
        <f t="shared" si="19"/>
        <v>47783.682192799301</v>
      </c>
      <c r="I99" s="268">
        <v>831786</v>
      </c>
      <c r="J99" s="337">
        <f t="shared" si="20"/>
        <v>13605732.199348167</v>
      </c>
      <c r="K99" s="347">
        <f t="shared" si="21"/>
        <v>14437518.199348167</v>
      </c>
      <c r="L99" s="268">
        <v>528950</v>
      </c>
      <c r="M99" s="337">
        <f t="shared" si="22"/>
        <v>17692091.58209011</v>
      </c>
      <c r="N99" s="347">
        <f t="shared" si="23"/>
        <v>18221041.58209011</v>
      </c>
      <c r="O99" s="268">
        <v>21634029</v>
      </c>
      <c r="P99" s="337">
        <f t="shared" si="24"/>
        <v>29314718.158629254</v>
      </c>
      <c r="Q99" s="347">
        <f t="shared" si="25"/>
        <v>50948747.158629254</v>
      </c>
      <c r="R99" s="268">
        <v>1811971.2680500001</v>
      </c>
      <c r="S99" s="337">
        <f t="shared" si="26"/>
        <v>25017335.635870352</v>
      </c>
      <c r="T99" s="347">
        <f t="shared" si="27"/>
        <v>26829306.903920352</v>
      </c>
      <c r="U99" s="347">
        <f t="shared" si="28"/>
        <v>27609153.460996971</v>
      </c>
      <c r="V99" s="268">
        <v>333172764.03670734</v>
      </c>
      <c r="W99" s="286">
        <f t="shared" si="17"/>
        <v>8.2867378252908838E-2</v>
      </c>
    </row>
    <row r="100" spans="2:23" ht="17.399999999999999" customHeight="1">
      <c r="B100" s="219" t="s">
        <v>90</v>
      </c>
      <c r="C100" s="155">
        <v>68</v>
      </c>
      <c r="D100" s="268">
        <v>27199633</v>
      </c>
      <c r="E100" s="337">
        <f t="shared" si="18"/>
        <v>149445839.34469438</v>
      </c>
      <c r="F100" s="347">
        <f t="shared" si="16"/>
        <v>176645472.34469438</v>
      </c>
      <c r="G100" s="268">
        <v>2429224</v>
      </c>
      <c r="H100" s="347">
        <f t="shared" si="19"/>
        <v>72716.831525085538</v>
      </c>
      <c r="I100" s="268">
        <v>1298840</v>
      </c>
      <c r="J100" s="337">
        <f t="shared" si="20"/>
        <v>13605732.199348167</v>
      </c>
      <c r="K100" s="347">
        <f t="shared" si="21"/>
        <v>14904572.199348167</v>
      </c>
      <c r="L100" s="268">
        <v>1371723</v>
      </c>
      <c r="M100" s="337">
        <f t="shared" si="22"/>
        <v>17692091.58209011</v>
      </c>
      <c r="N100" s="347">
        <f t="shared" si="23"/>
        <v>19063814.58209011</v>
      </c>
      <c r="O100" s="268">
        <v>2253792</v>
      </c>
      <c r="P100" s="337">
        <f t="shared" si="24"/>
        <v>29314718.158629254</v>
      </c>
      <c r="Q100" s="347">
        <f t="shared" si="25"/>
        <v>31568510.158629254</v>
      </c>
      <c r="R100" s="268">
        <v>3864866</v>
      </c>
      <c r="S100" s="337">
        <f t="shared" si="26"/>
        <v>25017335.635870352</v>
      </c>
      <c r="T100" s="347">
        <f t="shared" si="27"/>
        <v>28882201.635870352</v>
      </c>
      <c r="U100" s="347">
        <f t="shared" si="28"/>
        <v>23604774.643984471</v>
      </c>
      <c r="V100" s="268">
        <v>130475588.11306998</v>
      </c>
      <c r="W100" s="286">
        <f t="shared" si="17"/>
        <v>0.18091334160937908</v>
      </c>
    </row>
    <row r="101" spans="2:23" ht="17.399999999999999" customHeight="1">
      <c r="B101" s="219" t="s">
        <v>100</v>
      </c>
      <c r="C101" s="155">
        <v>65</v>
      </c>
      <c r="D101" s="268">
        <v>57102134.885219999</v>
      </c>
      <c r="E101" s="337">
        <f t="shared" si="18"/>
        <v>149445839.34469438</v>
      </c>
      <c r="F101" s="347">
        <f t="shared" si="16"/>
        <v>206547974.22991437</v>
      </c>
      <c r="G101" s="268">
        <v>4468563</v>
      </c>
      <c r="H101" s="347">
        <f t="shared" si="19"/>
        <v>46222.459933968566</v>
      </c>
      <c r="I101" s="268">
        <v>155510</v>
      </c>
      <c r="J101" s="337">
        <f t="shared" si="20"/>
        <v>13605732.199348167</v>
      </c>
      <c r="K101" s="347">
        <f t="shared" si="21"/>
        <v>13761242.199348167</v>
      </c>
      <c r="L101" s="268">
        <v>818710</v>
      </c>
      <c r="M101" s="337">
        <f t="shared" si="22"/>
        <v>17692091.58209011</v>
      </c>
      <c r="N101" s="347">
        <f t="shared" si="23"/>
        <v>18510801.58209011</v>
      </c>
      <c r="O101" s="268">
        <v>24360375</v>
      </c>
      <c r="P101" s="337">
        <f t="shared" si="24"/>
        <v>29314718.158629254</v>
      </c>
      <c r="Q101" s="347">
        <f t="shared" si="25"/>
        <v>53675093.158629254</v>
      </c>
      <c r="R101" s="268">
        <v>2046891.2680500001</v>
      </c>
      <c r="S101" s="337">
        <f t="shared" si="26"/>
        <v>25017335.635870352</v>
      </c>
      <c r="T101" s="347">
        <f t="shared" si="27"/>
        <v>27064226.903920352</v>
      </c>
      <c r="U101" s="347">
        <f t="shared" si="28"/>
        <v>28252840.960996971</v>
      </c>
      <c r="V101" s="268">
        <v>461427166.99339223</v>
      </c>
      <c r="W101" s="286">
        <f t="shared" si="17"/>
        <v>6.1229253459628999E-2</v>
      </c>
    </row>
    <row r="102" spans="2:23" ht="17.399999999999999" customHeight="1">
      <c r="B102" s="219" t="s">
        <v>95</v>
      </c>
      <c r="C102" s="155">
        <v>69</v>
      </c>
      <c r="D102" s="268">
        <v>26969985.26805</v>
      </c>
      <c r="E102" s="337">
        <f t="shared" si="18"/>
        <v>149445839.34469438</v>
      </c>
      <c r="F102" s="347">
        <f t="shared" si="16"/>
        <v>176415824.61274439</v>
      </c>
      <c r="G102" s="268">
        <v>5420411</v>
      </c>
      <c r="H102" s="347">
        <f t="shared" si="19"/>
        <v>32546.577116153076</v>
      </c>
      <c r="I102" s="268">
        <v>643652</v>
      </c>
      <c r="J102" s="337">
        <f t="shared" si="20"/>
        <v>13605732.199348167</v>
      </c>
      <c r="K102" s="347">
        <f t="shared" si="21"/>
        <v>14249384.199348167</v>
      </c>
      <c r="L102" s="268">
        <v>2062488</v>
      </c>
      <c r="M102" s="337">
        <f t="shared" si="22"/>
        <v>17692091.58209011</v>
      </c>
      <c r="N102" s="347">
        <f t="shared" si="23"/>
        <v>19754579.58209011</v>
      </c>
      <c r="O102" s="268">
        <v>4387510</v>
      </c>
      <c r="P102" s="337">
        <f t="shared" si="24"/>
        <v>29314718.158629254</v>
      </c>
      <c r="Q102" s="347">
        <f t="shared" si="25"/>
        <v>33702228.158629254</v>
      </c>
      <c r="R102" s="268">
        <v>6465634.2680500001</v>
      </c>
      <c r="S102" s="337">
        <f t="shared" si="26"/>
        <v>25017335.635870352</v>
      </c>
      <c r="T102" s="347">
        <f t="shared" si="27"/>
        <v>31482969.903920352</v>
      </c>
      <c r="U102" s="347">
        <f t="shared" si="28"/>
        <v>24797290.460996971</v>
      </c>
      <c r="V102" s="268">
        <v>240303495.80133319</v>
      </c>
      <c r="W102" s="286">
        <f t="shared" si="17"/>
        <v>0.10319155107713333</v>
      </c>
    </row>
    <row r="103" spans="2:23" ht="17.399999999999999" customHeight="1">
      <c r="B103" s="219" t="s">
        <v>87</v>
      </c>
      <c r="C103" s="155">
        <v>147</v>
      </c>
      <c r="D103" s="268">
        <v>56349969.807549998</v>
      </c>
      <c r="E103" s="337">
        <f t="shared" si="18"/>
        <v>149445839.34469438</v>
      </c>
      <c r="F103" s="347">
        <f t="shared" si="16"/>
        <v>205795809.15224439</v>
      </c>
      <c r="G103" s="268">
        <v>4101322</v>
      </c>
      <c r="H103" s="347">
        <f t="shared" si="19"/>
        <v>50177.920473506929</v>
      </c>
      <c r="I103" s="268">
        <v>3954213.86</v>
      </c>
      <c r="J103" s="337">
        <f t="shared" si="20"/>
        <v>13605732.199348167</v>
      </c>
      <c r="K103" s="347">
        <f t="shared" si="21"/>
        <v>17559946.059348166</v>
      </c>
      <c r="L103" s="268">
        <v>2919122.4325000001</v>
      </c>
      <c r="M103" s="337">
        <f t="shared" si="22"/>
        <v>17692091.58209011</v>
      </c>
      <c r="N103" s="347">
        <f t="shared" si="23"/>
        <v>20611214.014590111</v>
      </c>
      <c r="O103" s="268">
        <v>2799564.247</v>
      </c>
      <c r="P103" s="337">
        <f t="shared" si="24"/>
        <v>29314718.158629254</v>
      </c>
      <c r="Q103" s="347">
        <f t="shared" si="25"/>
        <v>32114282.405629255</v>
      </c>
      <c r="R103" s="268">
        <v>4237784.2680500001</v>
      </c>
      <c r="S103" s="337">
        <f t="shared" si="26"/>
        <v>25017335.635870352</v>
      </c>
      <c r="T103" s="347">
        <f t="shared" si="27"/>
        <v>29255119.903920352</v>
      </c>
      <c r="U103" s="347">
        <f t="shared" si="28"/>
        <v>24885140.59587197</v>
      </c>
      <c r="V103" s="268">
        <v>250344509.37730485</v>
      </c>
      <c r="W103" s="286">
        <f t="shared" si="17"/>
        <v>9.9403580520979265E-2</v>
      </c>
    </row>
    <row r="104" spans="2:23" ht="17.399999999999999" customHeight="1">
      <c r="B104" s="219" t="s">
        <v>137</v>
      </c>
      <c r="C104" s="155">
        <v>23</v>
      </c>
      <c r="D104" s="268">
        <v>34968867.780000001</v>
      </c>
      <c r="E104" s="337">
        <f t="shared" si="18"/>
        <v>149445839.34469438</v>
      </c>
      <c r="F104" s="347">
        <f t="shared" si="16"/>
        <v>184414707.12469438</v>
      </c>
      <c r="G104" s="268">
        <v>1616867</v>
      </c>
      <c r="H104" s="347">
        <f t="shared" si="19"/>
        <v>114056.81922180016</v>
      </c>
      <c r="I104" s="268">
        <v>601171.48</v>
      </c>
      <c r="J104" s="337">
        <f t="shared" si="20"/>
        <v>13605732.199348167</v>
      </c>
      <c r="K104" s="347">
        <f t="shared" si="21"/>
        <v>14206903.679348167</v>
      </c>
      <c r="L104" s="268">
        <v>916561</v>
      </c>
      <c r="M104" s="337">
        <f t="shared" si="22"/>
        <v>17692091.58209011</v>
      </c>
      <c r="N104" s="347">
        <f t="shared" si="23"/>
        <v>18608652.58209011</v>
      </c>
      <c r="O104" s="268">
        <v>1735778.9314285708</v>
      </c>
      <c r="P104" s="337">
        <f t="shared" si="24"/>
        <v>29314718.158629254</v>
      </c>
      <c r="Q104" s="347">
        <f t="shared" si="25"/>
        <v>31050497.090057824</v>
      </c>
      <c r="R104" s="268">
        <v>7516714.5885714293</v>
      </c>
      <c r="S104" s="337">
        <f t="shared" si="26"/>
        <v>25017335.635870352</v>
      </c>
      <c r="T104" s="347">
        <f t="shared" si="27"/>
        <v>32534050.224441782</v>
      </c>
      <c r="U104" s="347">
        <f t="shared" si="28"/>
        <v>24100025.893984471</v>
      </c>
      <c r="V104" s="268">
        <v>227924970.74720651</v>
      </c>
      <c r="W104" s="286">
        <f t="shared" si="17"/>
        <v>0.10573666331941317</v>
      </c>
    </row>
    <row r="105" spans="2:23" ht="17.399999999999999" customHeight="1">
      <c r="B105" s="219" t="s">
        <v>70</v>
      </c>
      <c r="C105" s="155">
        <v>242</v>
      </c>
      <c r="D105" s="268">
        <v>1181084746.7100801</v>
      </c>
      <c r="E105" s="337">
        <f t="shared" si="18"/>
        <v>149445839.34469438</v>
      </c>
      <c r="F105" s="347">
        <f t="shared" si="16"/>
        <v>1330530586.0547745</v>
      </c>
      <c r="G105" s="268">
        <v>11855975</v>
      </c>
      <c r="H105" s="347">
        <f t="shared" si="19"/>
        <v>112224.4763551521</v>
      </c>
      <c r="I105" s="268">
        <v>27987395.720000003</v>
      </c>
      <c r="J105" s="337">
        <f t="shared" si="20"/>
        <v>13605732.199348167</v>
      </c>
      <c r="K105" s="347">
        <f t="shared" si="21"/>
        <v>41593127.919348165</v>
      </c>
      <c r="L105" s="268">
        <v>44441305.060839996</v>
      </c>
      <c r="M105" s="337">
        <f t="shared" si="22"/>
        <v>17692091.58209011</v>
      </c>
      <c r="N105" s="347">
        <f t="shared" si="23"/>
        <v>62133396.642930105</v>
      </c>
      <c r="O105" s="268">
        <v>66984595.480000004</v>
      </c>
      <c r="P105" s="337">
        <f t="shared" si="24"/>
        <v>29314718.158629254</v>
      </c>
      <c r="Q105" s="347">
        <f t="shared" si="25"/>
        <v>96299313.638629258</v>
      </c>
      <c r="R105" s="268">
        <v>58378487.246690005</v>
      </c>
      <c r="S105" s="337">
        <f t="shared" si="26"/>
        <v>25017335.635870352</v>
      </c>
      <c r="T105" s="347">
        <f t="shared" si="27"/>
        <v>83395822.882560357</v>
      </c>
      <c r="U105" s="347">
        <f t="shared" si="28"/>
        <v>70855415.270866975</v>
      </c>
      <c r="V105" s="268">
        <v>4290630470.8923554</v>
      </c>
      <c r="W105" s="286">
        <f t="shared" si="17"/>
        <v>1.6513986872453881E-2</v>
      </c>
    </row>
    <row r="106" spans="2:23" ht="17.399999999999999" customHeight="1">
      <c r="B106" s="219" t="s">
        <v>91</v>
      </c>
      <c r="C106" s="155">
        <v>89</v>
      </c>
      <c r="D106" s="268">
        <v>56330923.317159995</v>
      </c>
      <c r="E106" s="337">
        <f t="shared" si="18"/>
        <v>149445839.34469438</v>
      </c>
      <c r="F106" s="347">
        <f t="shared" si="16"/>
        <v>205776762.66185439</v>
      </c>
      <c r="G106" s="268">
        <v>4297323</v>
      </c>
      <c r="H106" s="347">
        <f t="shared" si="19"/>
        <v>47884.872201101563</v>
      </c>
      <c r="I106" s="268">
        <v>882459</v>
      </c>
      <c r="J106" s="337">
        <f t="shared" si="20"/>
        <v>13605732.199348167</v>
      </c>
      <c r="K106" s="347">
        <f t="shared" si="21"/>
        <v>14488191.199348167</v>
      </c>
      <c r="L106" s="268">
        <v>2789691.56</v>
      </c>
      <c r="M106" s="337">
        <f t="shared" si="22"/>
        <v>17692091.58209011</v>
      </c>
      <c r="N106" s="347">
        <f t="shared" si="23"/>
        <v>20481783.142090108</v>
      </c>
      <c r="O106" s="268">
        <v>5426245.9000000004</v>
      </c>
      <c r="P106" s="337">
        <f t="shared" si="24"/>
        <v>29314718.158629254</v>
      </c>
      <c r="Q106" s="347">
        <f t="shared" si="25"/>
        <v>34740964.058629252</v>
      </c>
      <c r="R106" s="268">
        <v>7196623.0571599994</v>
      </c>
      <c r="S106" s="337">
        <f t="shared" si="26"/>
        <v>25017335.635870352</v>
      </c>
      <c r="T106" s="347">
        <f t="shared" si="27"/>
        <v>32213958.69303035</v>
      </c>
      <c r="U106" s="347">
        <f t="shared" si="28"/>
        <v>25481224.27327447</v>
      </c>
      <c r="V106" s="268">
        <v>438917210.64570105</v>
      </c>
      <c r="W106" s="286">
        <f t="shared" si="17"/>
        <v>5.8054739379639418E-2</v>
      </c>
    </row>
    <row r="107" spans="2:23" ht="17.399999999999999" customHeight="1">
      <c r="B107" s="219" t="s">
        <v>98</v>
      </c>
      <c r="C107" s="155">
        <v>109</v>
      </c>
      <c r="D107" s="268">
        <v>49807751.28779</v>
      </c>
      <c r="E107" s="337">
        <f t="shared" si="18"/>
        <v>149445839.34469438</v>
      </c>
      <c r="F107" s="347">
        <f t="shared" si="16"/>
        <v>199253590.63248438</v>
      </c>
      <c r="G107" s="268">
        <v>4748372</v>
      </c>
      <c r="H107" s="347">
        <f t="shared" si="19"/>
        <v>41962.506440625206</v>
      </c>
      <c r="I107" s="268">
        <v>1923965.28779</v>
      </c>
      <c r="J107" s="337">
        <f t="shared" si="20"/>
        <v>13605732.199348167</v>
      </c>
      <c r="K107" s="347">
        <f t="shared" si="21"/>
        <v>15529697.487138167</v>
      </c>
      <c r="L107" s="268">
        <v>2019475</v>
      </c>
      <c r="M107" s="337">
        <f t="shared" si="22"/>
        <v>17692091.58209011</v>
      </c>
      <c r="N107" s="347">
        <f t="shared" si="23"/>
        <v>19711566.58209011</v>
      </c>
      <c r="O107" s="268">
        <v>2206515</v>
      </c>
      <c r="P107" s="337">
        <f t="shared" si="24"/>
        <v>29314718.158629254</v>
      </c>
      <c r="Q107" s="347">
        <f t="shared" si="25"/>
        <v>31521233.158629254</v>
      </c>
      <c r="R107" s="268">
        <v>5036812</v>
      </c>
      <c r="S107" s="337">
        <f t="shared" si="26"/>
        <v>25017335.635870352</v>
      </c>
      <c r="T107" s="347">
        <f t="shared" si="27"/>
        <v>30054147.635870352</v>
      </c>
      <c r="U107" s="347">
        <f t="shared" si="28"/>
        <v>24204161.215931971</v>
      </c>
      <c r="V107" s="268">
        <v>359706534.53073072</v>
      </c>
      <c r="W107" s="286">
        <f t="shared" si="17"/>
        <v>6.7288633628823175E-2</v>
      </c>
    </row>
    <row r="108" spans="2:23" ht="17.399999999999999" customHeight="1">
      <c r="B108" s="219" t="s">
        <v>99</v>
      </c>
      <c r="C108" s="155">
        <v>81</v>
      </c>
      <c r="D108" s="268">
        <v>89526166.063049987</v>
      </c>
      <c r="E108" s="337">
        <f t="shared" si="18"/>
        <v>149445839.34469438</v>
      </c>
      <c r="F108" s="347">
        <f t="shared" si="16"/>
        <v>238972005.40774435</v>
      </c>
      <c r="G108" s="268">
        <v>6800180</v>
      </c>
      <c r="H108" s="347">
        <f t="shared" si="19"/>
        <v>35142.011742004528</v>
      </c>
      <c r="I108" s="268">
        <v>1376242.8</v>
      </c>
      <c r="J108" s="337">
        <f t="shared" si="20"/>
        <v>13605732.199348167</v>
      </c>
      <c r="K108" s="347">
        <f t="shared" si="21"/>
        <v>14981974.999348167</v>
      </c>
      <c r="L108" s="268">
        <v>6934633</v>
      </c>
      <c r="M108" s="337">
        <f t="shared" si="22"/>
        <v>17692091.58209011</v>
      </c>
      <c r="N108" s="347">
        <f t="shared" si="23"/>
        <v>24626724.58209011</v>
      </c>
      <c r="O108" s="268">
        <v>6947198.7990000006</v>
      </c>
      <c r="P108" s="337">
        <f t="shared" si="24"/>
        <v>29314718.158629254</v>
      </c>
      <c r="Q108" s="347">
        <f t="shared" si="25"/>
        <v>36261916.957629256</v>
      </c>
      <c r="R108" s="268">
        <v>5478973.780621429</v>
      </c>
      <c r="S108" s="337">
        <f t="shared" si="26"/>
        <v>25017335.635870352</v>
      </c>
      <c r="T108" s="347">
        <f t="shared" si="27"/>
        <v>30496309.41649178</v>
      </c>
      <c r="U108" s="347">
        <f t="shared" si="28"/>
        <v>26591731.488889828</v>
      </c>
      <c r="V108" s="268">
        <v>732977309.90612817</v>
      </c>
      <c r="W108" s="286">
        <f t="shared" si="17"/>
        <v>3.6279065026304035E-2</v>
      </c>
    </row>
    <row r="109" spans="2:23" ht="17.399999999999999" customHeight="1">
      <c r="B109" s="219" t="s">
        <v>89</v>
      </c>
      <c r="C109" s="155">
        <v>71</v>
      </c>
      <c r="D109" s="268">
        <v>22445073.578050002</v>
      </c>
      <c r="E109" s="337">
        <f t="shared" si="18"/>
        <v>149445839.34469438</v>
      </c>
      <c r="F109" s="347">
        <f t="shared" si="16"/>
        <v>171890912.92274439</v>
      </c>
      <c r="G109" s="268">
        <v>3407353</v>
      </c>
      <c r="H109" s="347">
        <f t="shared" si="19"/>
        <v>50447.051691663408</v>
      </c>
      <c r="I109" s="268">
        <v>1053689</v>
      </c>
      <c r="J109" s="337">
        <f t="shared" si="20"/>
        <v>13605732.199348167</v>
      </c>
      <c r="K109" s="347">
        <f t="shared" si="21"/>
        <v>14659421.199348167</v>
      </c>
      <c r="L109" s="268">
        <v>1223567</v>
      </c>
      <c r="M109" s="337">
        <f t="shared" si="22"/>
        <v>17692091.58209011</v>
      </c>
      <c r="N109" s="347">
        <f t="shared" si="23"/>
        <v>18915658.58209011</v>
      </c>
      <c r="O109" s="268">
        <v>1974192</v>
      </c>
      <c r="P109" s="337">
        <f t="shared" si="24"/>
        <v>29314718.158629254</v>
      </c>
      <c r="Q109" s="347">
        <f t="shared" si="25"/>
        <v>31288910.158629254</v>
      </c>
      <c r="R109" s="268">
        <v>1908040.5780500001</v>
      </c>
      <c r="S109" s="337">
        <f t="shared" si="26"/>
        <v>25017335.635870352</v>
      </c>
      <c r="T109" s="347">
        <f t="shared" si="27"/>
        <v>26925376.213920351</v>
      </c>
      <c r="U109" s="347">
        <f t="shared" si="28"/>
        <v>22947341.538496971</v>
      </c>
      <c r="V109" s="268">
        <v>230651364.45578188</v>
      </c>
      <c r="W109" s="286">
        <f t="shared" si="17"/>
        <v>9.9489294557787891E-2</v>
      </c>
    </row>
    <row r="110" spans="2:23" ht="17.399999999999999" customHeight="1" thickBot="1">
      <c r="B110" s="222" t="s">
        <v>94</v>
      </c>
      <c r="C110" s="259">
        <v>15</v>
      </c>
      <c r="D110" s="269">
        <v>4544231</v>
      </c>
      <c r="E110" s="337">
        <f t="shared" si="18"/>
        <v>149445839.34469438</v>
      </c>
      <c r="F110" s="347">
        <f t="shared" si="16"/>
        <v>153990070.34469438</v>
      </c>
      <c r="G110" s="269">
        <v>3256140</v>
      </c>
      <c r="H110" s="347">
        <f t="shared" si="19"/>
        <v>47292.2141998484</v>
      </c>
      <c r="I110" s="269">
        <v>244000</v>
      </c>
      <c r="J110" s="337">
        <f t="shared" si="20"/>
        <v>13605732.199348167</v>
      </c>
      <c r="K110" s="347">
        <f t="shared" si="21"/>
        <v>13849732.199348167</v>
      </c>
      <c r="L110" s="269">
        <v>237738</v>
      </c>
      <c r="M110" s="337">
        <f t="shared" si="22"/>
        <v>17692091.58209011</v>
      </c>
      <c r="N110" s="347">
        <f t="shared" si="23"/>
        <v>17929829.58209011</v>
      </c>
      <c r="O110" s="269">
        <v>288250</v>
      </c>
      <c r="P110" s="337">
        <f t="shared" si="24"/>
        <v>29314718.158629254</v>
      </c>
      <c r="Q110" s="347">
        <f t="shared" si="25"/>
        <v>29602968.158629254</v>
      </c>
      <c r="R110" s="269">
        <v>1760700</v>
      </c>
      <c r="S110" s="337">
        <f t="shared" si="26"/>
        <v>25017335.635870352</v>
      </c>
      <c r="T110" s="347">
        <f>SUM(R110:S110)</f>
        <v>26778035.635870352</v>
      </c>
      <c r="U110" s="347">
        <f t="shared" si="28"/>
        <v>22040141.393984471</v>
      </c>
      <c r="V110" s="269">
        <v>101091392.2250838</v>
      </c>
      <c r="W110" s="288">
        <f t="shared" si="17"/>
        <v>0.2180219394437784</v>
      </c>
    </row>
    <row r="111" spans="2:23" ht="15" thickBot="1">
      <c r="B111" s="221"/>
      <c r="C111" s="260"/>
      <c r="D111" s="260"/>
      <c r="E111" s="260"/>
      <c r="F111" s="260"/>
      <c r="G111" s="260"/>
      <c r="H111" s="260"/>
      <c r="I111" s="260"/>
      <c r="J111" s="260"/>
      <c r="K111" s="260"/>
      <c r="L111" s="260"/>
      <c r="M111" s="260"/>
      <c r="N111" s="260"/>
      <c r="O111" s="221"/>
    </row>
    <row r="112" spans="2:23" ht="15" thickBot="1">
      <c r="B112" s="261" t="s">
        <v>202</v>
      </c>
      <c r="C112" s="262">
        <v>2055</v>
      </c>
      <c r="D112" s="265">
        <f>SUM(D88:D110)</f>
        <v>3495913211.3268929</v>
      </c>
      <c r="E112" s="265">
        <f>SUM(E88:E110)</f>
        <v>2540579268.8598042</v>
      </c>
      <c r="F112" s="265">
        <f>SUM(F88:F110)</f>
        <v>6036492480.186698</v>
      </c>
      <c r="G112" s="265">
        <v>92335113</v>
      </c>
      <c r="H112" s="265">
        <f>F112/G112*1000</f>
        <v>65375.914796212979</v>
      </c>
      <c r="I112" s="265">
        <f>SUM(I93:I110)</f>
        <v>65047384.37827</v>
      </c>
      <c r="J112" s="265">
        <f t="shared" ref="J112:T112" si="29">SUM(J93:J110)</f>
        <v>231297447.38891876</v>
      </c>
      <c r="K112" s="265">
        <f t="shared" si="29"/>
        <v>296344831.76718879</v>
      </c>
      <c r="L112" s="265">
        <f>SUM(L93:L110)</f>
        <v>206799834.84866333</v>
      </c>
      <c r="M112" s="265">
        <f t="shared" si="29"/>
        <v>300765556.89553189</v>
      </c>
      <c r="N112" s="265">
        <f t="shared" si="29"/>
        <v>507565391.74419522</v>
      </c>
      <c r="O112" s="265">
        <f>SUM(O93:O110)</f>
        <v>329984038.70473999</v>
      </c>
      <c r="P112" s="265">
        <f t="shared" si="29"/>
        <v>498350208.69669712</v>
      </c>
      <c r="Q112" s="265">
        <f t="shared" si="29"/>
        <v>828334247.4014374</v>
      </c>
      <c r="R112" s="265">
        <f>SUM(R93:R110)</f>
        <v>406524645.12667143</v>
      </c>
      <c r="S112" s="265">
        <f t="shared" si="29"/>
        <v>425294705.80979586</v>
      </c>
      <c r="T112" s="265">
        <f t="shared" si="29"/>
        <v>831819350.93646753</v>
      </c>
      <c r="U112" s="265">
        <f>SUM(U93:U110)</f>
        <v>616015955.46232235</v>
      </c>
      <c r="V112" s="265">
        <f>SUM(V93:V110)</f>
        <v>11548191402.098955</v>
      </c>
      <c r="W112" s="290">
        <f>U112/V112</f>
        <v>5.3343067672948136E-2</v>
      </c>
    </row>
    <row r="113" spans="2:13"/>
    <row r="114" spans="2:13"/>
    <row r="115" spans="2:13" ht="18" thickBot="1">
      <c r="B115" s="292" t="s">
        <v>587</v>
      </c>
    </row>
    <row r="116" spans="2:13" ht="47.4" customHeight="1" thickBot="1">
      <c r="B116" s="271" t="s">
        <v>572</v>
      </c>
      <c r="C116" s="272" t="s">
        <v>240</v>
      </c>
      <c r="D116" s="270" t="s">
        <v>582</v>
      </c>
      <c r="E116" s="270" t="s">
        <v>583</v>
      </c>
      <c r="F116" s="270" t="s">
        <v>584</v>
      </c>
      <c r="G116" s="270">
        <v>2013</v>
      </c>
      <c r="H116" s="270">
        <v>2014</v>
      </c>
      <c r="I116" s="270">
        <v>2015</v>
      </c>
      <c r="J116" s="270">
        <v>2016</v>
      </c>
      <c r="K116" s="270" t="s">
        <v>611</v>
      </c>
      <c r="L116" s="270" t="s">
        <v>585</v>
      </c>
      <c r="M116" s="72" t="s">
        <v>586</v>
      </c>
    </row>
    <row r="117" spans="2:13" ht="17.399999999999999" customHeight="1">
      <c r="B117" s="348" t="s">
        <v>615</v>
      </c>
      <c r="C117" s="349">
        <v>20</v>
      </c>
      <c r="D117" s="350">
        <v>19857452.493000001</v>
      </c>
      <c r="E117" s="350">
        <v>0</v>
      </c>
      <c r="F117" s="350">
        <v>0</v>
      </c>
      <c r="G117" s="350">
        <v>6819249</v>
      </c>
      <c r="H117" s="350">
        <v>5181861</v>
      </c>
      <c r="I117" s="350">
        <v>3834598</v>
      </c>
      <c r="J117" s="350">
        <v>3951040.4929999998</v>
      </c>
      <c r="K117" s="350">
        <v>4946687.1232500002</v>
      </c>
      <c r="L117" s="350">
        <v>0</v>
      </c>
      <c r="M117" s="351">
        <v>0</v>
      </c>
    </row>
    <row r="118" spans="2:13" ht="17.399999999999999" customHeight="1">
      <c r="B118" s="352" t="s">
        <v>97</v>
      </c>
      <c r="C118" s="353">
        <v>150</v>
      </c>
      <c r="D118" s="354">
        <v>933061845.8584944</v>
      </c>
      <c r="E118" s="354">
        <v>10137737</v>
      </c>
      <c r="F118" s="354">
        <v>92038.474253030465</v>
      </c>
      <c r="G118" s="354">
        <v>18549113.199348167</v>
      </c>
      <c r="H118" s="354">
        <v>76547149.895090103</v>
      </c>
      <c r="I118" s="354">
        <v>112394317.15862925</v>
      </c>
      <c r="J118" s="354">
        <v>194372401.83667034</v>
      </c>
      <c r="K118" s="354">
        <v>100465745.52243446</v>
      </c>
      <c r="L118" s="354">
        <v>1018224367.0906494</v>
      </c>
      <c r="M118" s="355">
        <v>9.8667591121879228E-2</v>
      </c>
    </row>
    <row r="119" spans="2:13" ht="17.399999999999999" customHeight="1">
      <c r="B119" s="356" t="s">
        <v>88</v>
      </c>
      <c r="C119" s="357">
        <v>219</v>
      </c>
      <c r="D119" s="358">
        <v>795350597.48810434</v>
      </c>
      <c r="E119" s="358">
        <v>7102438</v>
      </c>
      <c r="F119" s="358">
        <v>111982.75824274767</v>
      </c>
      <c r="G119" s="358">
        <v>15966530.719828166</v>
      </c>
      <c r="H119" s="358">
        <v>32350383.27108011</v>
      </c>
      <c r="I119" s="358">
        <v>39404971.992569253</v>
      </c>
      <c r="J119" s="358">
        <v>62461870.635870352</v>
      </c>
      <c r="K119" s="358">
        <v>37545939.154836968</v>
      </c>
      <c r="L119" s="358">
        <v>455654312.1101864</v>
      </c>
      <c r="M119" s="359">
        <v>8.2400052313688202E-2</v>
      </c>
    </row>
    <row r="120" spans="2:13" ht="17.399999999999999" customHeight="1">
      <c r="B120" s="356" t="s">
        <v>112</v>
      </c>
      <c r="C120" s="357">
        <v>147</v>
      </c>
      <c r="D120" s="358">
        <v>454558996.06802773</v>
      </c>
      <c r="E120" s="358">
        <v>12609803</v>
      </c>
      <c r="F120" s="358">
        <v>36048.064832418699</v>
      </c>
      <c r="G120" s="358">
        <v>20291202.049348168</v>
      </c>
      <c r="H120" s="358">
        <v>71777549.575423449</v>
      </c>
      <c r="I120" s="358">
        <v>111797220.20862925</v>
      </c>
      <c r="J120" s="358">
        <v>99448702.245870352</v>
      </c>
      <c r="K120" s="358">
        <v>75828668.519817814</v>
      </c>
      <c r="L120" s="358">
        <v>1881381140.5255404</v>
      </c>
      <c r="M120" s="359">
        <v>4.0304788267748887E-2</v>
      </c>
    </row>
    <row r="121" spans="2:13" ht="17.399999999999999" customHeight="1">
      <c r="B121" s="356" t="s">
        <v>92</v>
      </c>
      <c r="C121" s="357">
        <v>91</v>
      </c>
      <c r="D121" s="358">
        <v>202862679.72404438</v>
      </c>
      <c r="E121" s="358">
        <v>3229163</v>
      </c>
      <c r="F121" s="358">
        <v>62822.062473787912</v>
      </c>
      <c r="G121" s="358">
        <v>15944301.059348166</v>
      </c>
      <c r="H121" s="358">
        <v>21907254.38209011</v>
      </c>
      <c r="I121" s="358">
        <v>32841123.158629254</v>
      </c>
      <c r="J121" s="358">
        <v>34326342.355220348</v>
      </c>
      <c r="K121" s="358">
        <v>26254755.238821968</v>
      </c>
      <c r="L121" s="358">
        <v>208546726.68205774</v>
      </c>
      <c r="M121" s="359">
        <v>0.12589387355309081</v>
      </c>
    </row>
    <row r="122" spans="2:13" ht="17.399999999999999" customHeight="1">
      <c r="B122" s="356" t="s">
        <v>93</v>
      </c>
      <c r="C122" s="357">
        <v>109</v>
      </c>
      <c r="D122" s="358">
        <v>184196758.45369437</v>
      </c>
      <c r="E122" s="358">
        <v>2744671</v>
      </c>
      <c r="F122" s="358">
        <v>67110.68774862065</v>
      </c>
      <c r="G122" s="358">
        <v>14552724.199348167</v>
      </c>
      <c r="H122" s="358">
        <v>21232130.58209011</v>
      </c>
      <c r="I122" s="358">
        <v>35287352.622000679</v>
      </c>
      <c r="J122" s="358">
        <v>31347467.416098922</v>
      </c>
      <c r="K122" s="358">
        <v>25604918.70488447</v>
      </c>
      <c r="L122" s="358">
        <v>186762077.96572542</v>
      </c>
      <c r="M122" s="359">
        <v>0.13709913159985018</v>
      </c>
    </row>
    <row r="123" spans="2:13" ht="17.399999999999999" customHeight="1">
      <c r="B123" s="356" t="s">
        <v>101</v>
      </c>
      <c r="C123" s="357">
        <v>51</v>
      </c>
      <c r="D123" s="358">
        <v>196370434.61274439</v>
      </c>
      <c r="E123" s="358">
        <v>4109571</v>
      </c>
      <c r="F123" s="358">
        <v>47783.682192799301</v>
      </c>
      <c r="G123" s="358">
        <v>14437518.199348167</v>
      </c>
      <c r="H123" s="358">
        <v>18221041.58209011</v>
      </c>
      <c r="I123" s="358">
        <v>50948747.158629254</v>
      </c>
      <c r="J123" s="358">
        <v>26829306.903920352</v>
      </c>
      <c r="K123" s="358">
        <v>27609153.460996971</v>
      </c>
      <c r="L123" s="358">
        <v>333172764.03670734</v>
      </c>
      <c r="M123" s="359">
        <v>8.2867378252908838E-2</v>
      </c>
    </row>
    <row r="124" spans="2:13" ht="17.399999999999999" customHeight="1">
      <c r="B124" s="356" t="s">
        <v>90</v>
      </c>
      <c r="C124" s="357">
        <v>68</v>
      </c>
      <c r="D124" s="358">
        <v>176645472.34469438</v>
      </c>
      <c r="E124" s="358">
        <v>2429224</v>
      </c>
      <c r="F124" s="358">
        <v>72716.831525085538</v>
      </c>
      <c r="G124" s="358">
        <v>14904572.199348167</v>
      </c>
      <c r="H124" s="358">
        <v>19063814.58209011</v>
      </c>
      <c r="I124" s="358">
        <v>31568510.158629254</v>
      </c>
      <c r="J124" s="358">
        <v>28882201.635870352</v>
      </c>
      <c r="K124" s="358">
        <v>23604774.643984471</v>
      </c>
      <c r="L124" s="358">
        <v>130475588.11306998</v>
      </c>
      <c r="M124" s="359">
        <v>0.18091334160937908</v>
      </c>
    </row>
    <row r="125" spans="2:13" ht="17.399999999999999" customHeight="1">
      <c r="B125" s="356" t="s">
        <v>100</v>
      </c>
      <c r="C125" s="357">
        <v>65</v>
      </c>
      <c r="D125" s="358">
        <v>206547974.22991437</v>
      </c>
      <c r="E125" s="358">
        <v>4468563</v>
      </c>
      <c r="F125" s="358">
        <v>46222.459933968566</v>
      </c>
      <c r="G125" s="358">
        <v>13761242.199348167</v>
      </c>
      <c r="H125" s="358">
        <v>18510801.58209011</v>
      </c>
      <c r="I125" s="358">
        <v>53675093.158629254</v>
      </c>
      <c r="J125" s="358">
        <v>27064226.903920352</v>
      </c>
      <c r="K125" s="358">
        <v>28252840.960996971</v>
      </c>
      <c r="L125" s="358">
        <v>461427166.99339223</v>
      </c>
      <c r="M125" s="359">
        <v>6.1229253459628999E-2</v>
      </c>
    </row>
    <row r="126" spans="2:13" ht="17.399999999999999" customHeight="1">
      <c r="B126" s="356" t="s">
        <v>95</v>
      </c>
      <c r="C126" s="357">
        <v>69</v>
      </c>
      <c r="D126" s="358">
        <v>176415824.61274439</v>
      </c>
      <c r="E126" s="358">
        <v>5420411</v>
      </c>
      <c r="F126" s="358">
        <v>32546.577116153076</v>
      </c>
      <c r="G126" s="358">
        <v>14249384.199348167</v>
      </c>
      <c r="H126" s="358">
        <v>19754579.58209011</v>
      </c>
      <c r="I126" s="358">
        <v>33702228.158629254</v>
      </c>
      <c r="J126" s="358">
        <v>31482969.903920352</v>
      </c>
      <c r="K126" s="358">
        <v>24797290.460996971</v>
      </c>
      <c r="L126" s="358">
        <v>240303495.80133319</v>
      </c>
      <c r="M126" s="359">
        <v>0.10319155107713333</v>
      </c>
    </row>
    <row r="127" spans="2:13" ht="17.399999999999999" customHeight="1">
      <c r="B127" s="356" t="s">
        <v>87</v>
      </c>
      <c r="C127" s="357">
        <v>147</v>
      </c>
      <c r="D127" s="358">
        <v>205795809.15224439</v>
      </c>
      <c r="E127" s="358">
        <v>4101322</v>
      </c>
      <c r="F127" s="358">
        <v>50177.920473506929</v>
      </c>
      <c r="G127" s="358">
        <v>17559946.059348166</v>
      </c>
      <c r="H127" s="358">
        <v>20611214.014590111</v>
      </c>
      <c r="I127" s="358">
        <v>32114282.405629255</v>
      </c>
      <c r="J127" s="358">
        <v>29255119.903920352</v>
      </c>
      <c r="K127" s="358">
        <v>24885140.59587197</v>
      </c>
      <c r="L127" s="358">
        <v>250344509.37730485</v>
      </c>
      <c r="M127" s="359">
        <v>9.9403580520979265E-2</v>
      </c>
    </row>
    <row r="128" spans="2:13" ht="17.399999999999999" customHeight="1">
      <c r="B128" s="356" t="s">
        <v>137</v>
      </c>
      <c r="C128" s="357">
        <v>23</v>
      </c>
      <c r="D128" s="358">
        <v>184414707.12469438</v>
      </c>
      <c r="E128" s="358">
        <v>1616867</v>
      </c>
      <c r="F128" s="358">
        <v>114056.81922180016</v>
      </c>
      <c r="G128" s="358">
        <v>14206903.679348167</v>
      </c>
      <c r="H128" s="358">
        <v>18608652.58209011</v>
      </c>
      <c r="I128" s="358">
        <v>31050497.090057824</v>
      </c>
      <c r="J128" s="358">
        <v>32534050.224441782</v>
      </c>
      <c r="K128" s="358">
        <v>24100025.893984471</v>
      </c>
      <c r="L128" s="358">
        <v>227924970.74720651</v>
      </c>
      <c r="M128" s="359">
        <v>0.10573666331941317</v>
      </c>
    </row>
    <row r="129" spans="2:13" ht="17.399999999999999" customHeight="1">
      <c r="B129" s="356" t="s">
        <v>70</v>
      </c>
      <c r="C129" s="357">
        <v>242</v>
      </c>
      <c r="D129" s="358">
        <v>1330530586.0547745</v>
      </c>
      <c r="E129" s="358">
        <v>11855975</v>
      </c>
      <c r="F129" s="358">
        <v>112224.4763551521</v>
      </c>
      <c r="G129" s="358">
        <v>41593127.919348165</v>
      </c>
      <c r="H129" s="358">
        <v>62133396.642930105</v>
      </c>
      <c r="I129" s="358">
        <v>96299313.638629258</v>
      </c>
      <c r="J129" s="358">
        <v>83395822.882560357</v>
      </c>
      <c r="K129" s="358">
        <v>70855415.270866975</v>
      </c>
      <c r="L129" s="358">
        <v>4290630470.8923554</v>
      </c>
      <c r="M129" s="359">
        <v>1.6513986872453881E-2</v>
      </c>
    </row>
    <row r="130" spans="2:13" ht="17.399999999999999" customHeight="1">
      <c r="B130" s="356" t="s">
        <v>91</v>
      </c>
      <c r="C130" s="357">
        <v>89</v>
      </c>
      <c r="D130" s="358">
        <v>205776762.66185439</v>
      </c>
      <c r="E130" s="358">
        <v>4297323</v>
      </c>
      <c r="F130" s="358">
        <v>47884.872201101563</v>
      </c>
      <c r="G130" s="358">
        <v>14488191.199348167</v>
      </c>
      <c r="H130" s="358">
        <v>20481783.142090108</v>
      </c>
      <c r="I130" s="358">
        <v>34740964.058629252</v>
      </c>
      <c r="J130" s="358">
        <v>32213958.69303035</v>
      </c>
      <c r="K130" s="358">
        <v>25481224.27327447</v>
      </c>
      <c r="L130" s="358">
        <v>438917210.64570105</v>
      </c>
      <c r="M130" s="359">
        <v>5.8054739379639418E-2</v>
      </c>
    </row>
    <row r="131" spans="2:13" ht="17.399999999999999" customHeight="1">
      <c r="B131" s="356" t="s">
        <v>98</v>
      </c>
      <c r="C131" s="357">
        <v>109</v>
      </c>
      <c r="D131" s="358">
        <v>199253590.63248438</v>
      </c>
      <c r="E131" s="358">
        <v>4748372</v>
      </c>
      <c r="F131" s="358">
        <v>41962.506440625206</v>
      </c>
      <c r="G131" s="358">
        <v>15529697.487138167</v>
      </c>
      <c r="H131" s="358">
        <v>19711566.58209011</v>
      </c>
      <c r="I131" s="358">
        <v>31521233.158629254</v>
      </c>
      <c r="J131" s="358">
        <v>30054147.635870352</v>
      </c>
      <c r="K131" s="358">
        <v>24204161.215931971</v>
      </c>
      <c r="L131" s="358">
        <v>359706534.53073072</v>
      </c>
      <c r="M131" s="359">
        <v>6.7288633628823175E-2</v>
      </c>
    </row>
    <row r="132" spans="2:13" ht="17.399999999999999" customHeight="1">
      <c r="B132" s="356" t="s">
        <v>99</v>
      </c>
      <c r="C132" s="357">
        <v>81</v>
      </c>
      <c r="D132" s="358">
        <v>238972005.40774435</v>
      </c>
      <c r="E132" s="358">
        <v>6800180</v>
      </c>
      <c r="F132" s="358">
        <v>35142.011742004528</v>
      </c>
      <c r="G132" s="358">
        <v>14981974.999348167</v>
      </c>
      <c r="H132" s="358">
        <v>24626724.58209011</v>
      </c>
      <c r="I132" s="358">
        <v>36261916.957629256</v>
      </c>
      <c r="J132" s="358">
        <v>30496309.41649178</v>
      </c>
      <c r="K132" s="358">
        <v>26591731.488889828</v>
      </c>
      <c r="L132" s="358">
        <v>732977309.90612817</v>
      </c>
      <c r="M132" s="359">
        <v>3.6279065026304035E-2</v>
      </c>
    </row>
    <row r="133" spans="2:13" ht="17.399999999999999" customHeight="1">
      <c r="B133" s="356" t="s">
        <v>89</v>
      </c>
      <c r="C133" s="357">
        <v>71</v>
      </c>
      <c r="D133" s="358">
        <v>171890912.92274439</v>
      </c>
      <c r="E133" s="358">
        <v>3407353</v>
      </c>
      <c r="F133" s="358">
        <v>50447.051691663408</v>
      </c>
      <c r="G133" s="358">
        <v>14659421.199348167</v>
      </c>
      <c r="H133" s="358">
        <v>18915658.58209011</v>
      </c>
      <c r="I133" s="358">
        <v>31288910.158629254</v>
      </c>
      <c r="J133" s="358">
        <v>26925376.213920351</v>
      </c>
      <c r="K133" s="358">
        <v>22947341.538496971</v>
      </c>
      <c r="L133" s="358">
        <v>230651364.45578188</v>
      </c>
      <c r="M133" s="359">
        <v>9.9489294557787891E-2</v>
      </c>
    </row>
    <row r="134" spans="2:13" ht="17.399999999999999" customHeight="1" thickBot="1">
      <c r="B134" s="360" t="s">
        <v>94</v>
      </c>
      <c r="C134" s="361">
        <v>15</v>
      </c>
      <c r="D134" s="362">
        <v>153990070.34469438</v>
      </c>
      <c r="E134" s="362">
        <v>3256140</v>
      </c>
      <c r="F134" s="362">
        <v>47292.2141998484</v>
      </c>
      <c r="G134" s="362">
        <v>13849732.199348167</v>
      </c>
      <c r="H134" s="362">
        <v>17929829.58209011</v>
      </c>
      <c r="I134" s="362">
        <v>29602968.158629254</v>
      </c>
      <c r="J134" s="362">
        <v>26778035.635870352</v>
      </c>
      <c r="K134" s="362">
        <v>22040141.393984471</v>
      </c>
      <c r="L134" s="362">
        <v>101091392.2250838</v>
      </c>
      <c r="M134" s="363">
        <v>0.2180219394437784</v>
      </c>
    </row>
    <row r="135" spans="2:13" ht="15" thickBot="1">
      <c r="B135" s="221"/>
      <c r="C135" s="260"/>
      <c r="D135" s="260"/>
      <c r="E135" s="260"/>
      <c r="F135" s="260"/>
      <c r="G135" s="260"/>
      <c r="H135" s="260"/>
      <c r="I135" s="260"/>
      <c r="J135" s="260"/>
      <c r="K135" s="260"/>
      <c r="L135" s="260"/>
      <c r="M135" s="221"/>
    </row>
    <row r="136" spans="2:13" ht="15" thickBot="1">
      <c r="B136" s="261" t="s">
        <v>202</v>
      </c>
      <c r="C136" s="262" t="s">
        <v>612</v>
      </c>
      <c r="D136" s="265">
        <v>6036492480.186698</v>
      </c>
      <c r="E136" s="265">
        <v>92335113</v>
      </c>
      <c r="F136" s="265">
        <v>65375.914796212979</v>
      </c>
      <c r="G136" s="265">
        <v>296344831.76718885</v>
      </c>
      <c r="H136" s="265">
        <v>507565391.74419528</v>
      </c>
      <c r="I136" s="265">
        <v>828334247.4014374</v>
      </c>
      <c r="J136" s="265">
        <v>831819350.93646753</v>
      </c>
      <c r="K136" s="265">
        <v>616015955.46232235</v>
      </c>
      <c r="L136" s="265">
        <v>11548191402.098953</v>
      </c>
      <c r="M136" s="290">
        <v>5.3343067672948143E-2</v>
      </c>
    </row>
    <row r="137" spans="2:13"/>
    <row r="138" spans="2:13" s="238" customFormat="1"/>
    <row r="139" spans="2:13"/>
    <row r="140" spans="2:13"/>
    <row r="141" spans="2:13" ht="18" thickBot="1">
      <c r="B141" s="292" t="s">
        <v>587</v>
      </c>
    </row>
    <row r="142" spans="2:13" ht="47.4" customHeight="1" thickBot="1">
      <c r="B142" s="271" t="s">
        <v>572</v>
      </c>
      <c r="C142" s="272" t="s">
        <v>240</v>
      </c>
      <c r="D142" s="270" t="s">
        <v>582</v>
      </c>
      <c r="E142" s="270" t="s">
        <v>583</v>
      </c>
      <c r="F142" s="270" t="s">
        <v>584</v>
      </c>
      <c r="G142" s="270">
        <v>2013</v>
      </c>
      <c r="H142" s="270">
        <v>2014</v>
      </c>
      <c r="I142" s="270">
        <v>2015</v>
      </c>
      <c r="J142" s="270">
        <v>2016</v>
      </c>
      <c r="K142" s="270" t="s">
        <v>611</v>
      </c>
      <c r="L142" s="270" t="s">
        <v>585</v>
      </c>
      <c r="M142" s="72" t="s">
        <v>586</v>
      </c>
    </row>
    <row r="143" spans="2:13" ht="17.399999999999999" customHeight="1">
      <c r="B143" s="348" t="s">
        <v>615</v>
      </c>
      <c r="C143" s="349">
        <v>20</v>
      </c>
      <c r="D143" s="350">
        <v>19857452.493000001</v>
      </c>
      <c r="E143" s="350">
        <v>0</v>
      </c>
      <c r="F143" s="350">
        <v>0</v>
      </c>
      <c r="G143" s="350">
        <v>6819249</v>
      </c>
      <c r="H143" s="350">
        <v>5181861</v>
      </c>
      <c r="I143" s="350">
        <v>3834598</v>
      </c>
      <c r="J143" s="350">
        <v>3951040.4929999998</v>
      </c>
      <c r="K143" s="350">
        <v>4946687.1232500002</v>
      </c>
      <c r="L143" s="350">
        <v>0</v>
      </c>
      <c r="M143" s="351">
        <v>0</v>
      </c>
    </row>
    <row r="144" spans="2:13" ht="17.399999999999999" customHeight="1">
      <c r="B144" s="356" t="s">
        <v>98</v>
      </c>
      <c r="C144" s="357">
        <v>109</v>
      </c>
      <c r="D144" s="358">
        <v>199253590.63248438</v>
      </c>
      <c r="E144" s="358">
        <v>4748372</v>
      </c>
      <c r="F144" s="358">
        <v>41962.506440625206</v>
      </c>
      <c r="G144" s="358">
        <v>15529697.487138167</v>
      </c>
      <c r="H144" s="358">
        <v>19711566.58209011</v>
      </c>
      <c r="I144" s="358">
        <v>31521233.158629254</v>
      </c>
      <c r="J144" s="358">
        <v>30054147.635870352</v>
      </c>
      <c r="K144" s="358">
        <v>24204161.215931971</v>
      </c>
      <c r="L144" s="358">
        <v>359706534.53073072</v>
      </c>
      <c r="M144" s="359">
        <v>6.7288633628823175E-2</v>
      </c>
    </row>
    <row r="145" spans="2:13" ht="17.399999999999999" customHeight="1">
      <c r="B145" s="356" t="s">
        <v>92</v>
      </c>
      <c r="C145" s="357">
        <v>91</v>
      </c>
      <c r="D145" s="358">
        <v>202862679.72404438</v>
      </c>
      <c r="E145" s="358">
        <v>3229163</v>
      </c>
      <c r="F145" s="358">
        <v>62822.062473787912</v>
      </c>
      <c r="G145" s="358">
        <v>15944301.059348166</v>
      </c>
      <c r="H145" s="358">
        <v>21907254.38209011</v>
      </c>
      <c r="I145" s="358">
        <v>32841123.158629254</v>
      </c>
      <c r="J145" s="358">
        <v>34326342.355220348</v>
      </c>
      <c r="K145" s="358">
        <v>26254755.238821968</v>
      </c>
      <c r="L145" s="358">
        <v>208546726.68205774</v>
      </c>
      <c r="M145" s="359">
        <v>0.12589387355309081</v>
      </c>
    </row>
    <row r="146" spans="2:13" ht="17.399999999999999" customHeight="1">
      <c r="B146" s="356" t="s">
        <v>97</v>
      </c>
      <c r="C146" s="357">
        <v>150</v>
      </c>
      <c r="D146" s="358">
        <v>933061845.8584944</v>
      </c>
      <c r="E146" s="358">
        <v>10137737</v>
      </c>
      <c r="F146" s="358">
        <v>92038.474253030465</v>
      </c>
      <c r="G146" s="358">
        <v>18549113.199348167</v>
      </c>
      <c r="H146" s="358">
        <v>76547149.895090103</v>
      </c>
      <c r="I146" s="358">
        <v>112394317.15862925</v>
      </c>
      <c r="J146" s="358">
        <v>194372401.83667034</v>
      </c>
      <c r="K146" s="358">
        <v>100465745.52243446</v>
      </c>
      <c r="L146" s="358">
        <v>1018224367.0906494</v>
      </c>
      <c r="M146" s="359">
        <v>9.8667591121879228E-2</v>
      </c>
    </row>
    <row r="147" spans="2:13" ht="17.399999999999999" customHeight="1">
      <c r="B147" s="356" t="s">
        <v>112</v>
      </c>
      <c r="C147" s="357">
        <v>147</v>
      </c>
      <c r="D147" s="358">
        <v>454558996.06802773</v>
      </c>
      <c r="E147" s="358">
        <v>12609803</v>
      </c>
      <c r="F147" s="358">
        <v>36048.064832418699</v>
      </c>
      <c r="G147" s="358">
        <v>20291202.049348168</v>
      </c>
      <c r="H147" s="358">
        <v>71777549.575423449</v>
      </c>
      <c r="I147" s="358">
        <v>111797220.20862925</v>
      </c>
      <c r="J147" s="358">
        <v>99448702.245870352</v>
      </c>
      <c r="K147" s="358">
        <v>75828668.519817814</v>
      </c>
      <c r="L147" s="358">
        <v>1881381140.5255404</v>
      </c>
      <c r="M147" s="359">
        <v>4.0304788267748887E-2</v>
      </c>
    </row>
    <row r="148" spans="2:13" ht="17.399999999999999" customHeight="1">
      <c r="B148" s="356" t="s">
        <v>93</v>
      </c>
      <c r="C148" s="357">
        <v>109</v>
      </c>
      <c r="D148" s="358">
        <v>184196758.45369437</v>
      </c>
      <c r="E148" s="358">
        <v>2744671</v>
      </c>
      <c r="F148" s="358">
        <v>67110.68774862065</v>
      </c>
      <c r="G148" s="358">
        <v>14552724.199348167</v>
      </c>
      <c r="H148" s="358">
        <v>21232130.58209011</v>
      </c>
      <c r="I148" s="358">
        <v>35287352.622000679</v>
      </c>
      <c r="J148" s="358">
        <v>31347467.416098922</v>
      </c>
      <c r="K148" s="358">
        <v>25604918.70488447</v>
      </c>
      <c r="L148" s="358">
        <v>186762077.96572542</v>
      </c>
      <c r="M148" s="359">
        <v>0.13709913159985018</v>
      </c>
    </row>
    <row r="149" spans="2:13" ht="17.399999999999999" customHeight="1">
      <c r="B149" s="356" t="s">
        <v>95</v>
      </c>
      <c r="C149" s="357">
        <v>69</v>
      </c>
      <c r="D149" s="358">
        <v>176415824.61274439</v>
      </c>
      <c r="E149" s="358">
        <v>5420411</v>
      </c>
      <c r="F149" s="358">
        <v>32546.577116153076</v>
      </c>
      <c r="G149" s="358">
        <v>14249384.199348167</v>
      </c>
      <c r="H149" s="358">
        <v>19754579.58209011</v>
      </c>
      <c r="I149" s="358">
        <v>33702228.158629254</v>
      </c>
      <c r="J149" s="358">
        <v>31482969.903920352</v>
      </c>
      <c r="K149" s="358">
        <v>24797290.460996971</v>
      </c>
      <c r="L149" s="358">
        <v>240303495.80133319</v>
      </c>
      <c r="M149" s="359">
        <v>0.10319155107713333</v>
      </c>
    </row>
    <row r="150" spans="2:13" ht="17.399999999999999" customHeight="1">
      <c r="B150" s="356" t="s">
        <v>88</v>
      </c>
      <c r="C150" s="357">
        <v>219</v>
      </c>
      <c r="D150" s="358">
        <v>795350597.48810434</v>
      </c>
      <c r="E150" s="358">
        <v>7102438</v>
      </c>
      <c r="F150" s="358">
        <v>111982.75824274767</v>
      </c>
      <c r="G150" s="358">
        <v>15966530.719828166</v>
      </c>
      <c r="H150" s="358">
        <v>32350383.27108011</v>
      </c>
      <c r="I150" s="358">
        <v>39404971.992569253</v>
      </c>
      <c r="J150" s="358">
        <v>62461870.635870352</v>
      </c>
      <c r="K150" s="358">
        <v>37545939.154836968</v>
      </c>
      <c r="L150" s="358">
        <v>455654312.1101864</v>
      </c>
      <c r="M150" s="359">
        <v>8.2400052313688202E-2</v>
      </c>
    </row>
    <row r="151" spans="2:13" ht="17.399999999999999" customHeight="1">
      <c r="B151" s="356" t="s">
        <v>99</v>
      </c>
      <c r="C151" s="357">
        <v>81</v>
      </c>
      <c r="D151" s="358">
        <v>238972005.40774435</v>
      </c>
      <c r="E151" s="358">
        <v>6800180</v>
      </c>
      <c r="F151" s="358">
        <v>35142.011742004528</v>
      </c>
      <c r="G151" s="358">
        <v>14981974.999348167</v>
      </c>
      <c r="H151" s="358">
        <v>24626724.58209011</v>
      </c>
      <c r="I151" s="358">
        <v>36261916.957629256</v>
      </c>
      <c r="J151" s="358">
        <v>30496309.41649178</v>
      </c>
      <c r="K151" s="358">
        <v>26591731.488889828</v>
      </c>
      <c r="L151" s="358">
        <v>732977309.90612817</v>
      </c>
      <c r="M151" s="359">
        <v>3.6279065026304035E-2</v>
      </c>
    </row>
    <row r="152" spans="2:13" ht="17.399999999999999" customHeight="1">
      <c r="B152" s="356" t="s">
        <v>87</v>
      </c>
      <c r="C152" s="357">
        <v>147</v>
      </c>
      <c r="D152" s="358">
        <v>205795809.15224439</v>
      </c>
      <c r="E152" s="358">
        <v>4101322</v>
      </c>
      <c r="F152" s="358">
        <v>50177.920473506929</v>
      </c>
      <c r="G152" s="358">
        <v>17559946.059348166</v>
      </c>
      <c r="H152" s="358">
        <v>20611214.014590111</v>
      </c>
      <c r="I152" s="358">
        <v>32114282.405629255</v>
      </c>
      <c r="J152" s="358">
        <v>29255119.903920352</v>
      </c>
      <c r="K152" s="358">
        <v>24885140.59587197</v>
      </c>
      <c r="L152" s="358">
        <v>250344509.37730485</v>
      </c>
      <c r="M152" s="359">
        <v>9.9403580520979265E-2</v>
      </c>
    </row>
    <row r="153" spans="2:13" ht="17.399999999999999" customHeight="1">
      <c r="B153" s="356" t="s">
        <v>89</v>
      </c>
      <c r="C153" s="357">
        <v>71</v>
      </c>
      <c r="D153" s="358">
        <v>171890912.92274439</v>
      </c>
      <c r="E153" s="358">
        <v>3407353</v>
      </c>
      <c r="F153" s="358">
        <v>50447.051691663408</v>
      </c>
      <c r="G153" s="358">
        <v>14659421.199348167</v>
      </c>
      <c r="H153" s="358">
        <v>18915658.58209011</v>
      </c>
      <c r="I153" s="358">
        <v>31288910.158629254</v>
      </c>
      <c r="J153" s="358">
        <v>26925376.213920351</v>
      </c>
      <c r="K153" s="358">
        <v>22947341.538496971</v>
      </c>
      <c r="L153" s="358">
        <v>230651364.45578188</v>
      </c>
      <c r="M153" s="359">
        <v>9.9489294557787891E-2</v>
      </c>
    </row>
    <row r="154" spans="2:13" ht="17.399999999999999" customHeight="1">
      <c r="B154" s="356" t="s">
        <v>91</v>
      </c>
      <c r="C154" s="357">
        <v>89</v>
      </c>
      <c r="D154" s="358">
        <v>205776762.66185439</v>
      </c>
      <c r="E154" s="358">
        <v>4297323</v>
      </c>
      <c r="F154" s="358">
        <v>47884.872201101563</v>
      </c>
      <c r="G154" s="358">
        <v>14488191.199348167</v>
      </c>
      <c r="H154" s="358">
        <v>20481783.142090108</v>
      </c>
      <c r="I154" s="358">
        <v>34740964.058629252</v>
      </c>
      <c r="J154" s="358">
        <v>32213958.69303035</v>
      </c>
      <c r="K154" s="358">
        <v>25481224.27327447</v>
      </c>
      <c r="L154" s="358">
        <v>438917210.64570105</v>
      </c>
      <c r="M154" s="359">
        <v>5.8054739379639418E-2</v>
      </c>
    </row>
    <row r="155" spans="2:13" ht="17.399999999999999" customHeight="1">
      <c r="B155" s="356" t="s">
        <v>100</v>
      </c>
      <c r="C155" s="357">
        <v>65</v>
      </c>
      <c r="D155" s="358">
        <v>206547974.22991437</v>
      </c>
      <c r="E155" s="358">
        <v>4468563</v>
      </c>
      <c r="F155" s="358">
        <v>46222.459933968566</v>
      </c>
      <c r="G155" s="358">
        <v>13761242.199348167</v>
      </c>
      <c r="H155" s="358">
        <v>18510801.58209011</v>
      </c>
      <c r="I155" s="358">
        <v>53675093.158629254</v>
      </c>
      <c r="J155" s="358">
        <v>27064226.903920352</v>
      </c>
      <c r="K155" s="358">
        <v>28252840.960996971</v>
      </c>
      <c r="L155" s="358">
        <v>461427166.99339223</v>
      </c>
      <c r="M155" s="359">
        <v>6.1229253459628999E-2</v>
      </c>
    </row>
    <row r="156" spans="2:13" ht="17.399999999999999" customHeight="1">
      <c r="B156" s="364" t="s">
        <v>101</v>
      </c>
      <c r="C156" s="365">
        <v>51</v>
      </c>
      <c r="D156" s="366">
        <v>196370434.61274439</v>
      </c>
      <c r="E156" s="366">
        <v>4109571</v>
      </c>
      <c r="F156" s="366">
        <v>47783.682192799301</v>
      </c>
      <c r="G156" s="366">
        <v>14437518.199348167</v>
      </c>
      <c r="H156" s="366">
        <v>18221041.58209011</v>
      </c>
      <c r="I156" s="366">
        <v>50948747.158629254</v>
      </c>
      <c r="J156" s="366">
        <v>26829306.903920352</v>
      </c>
      <c r="K156" s="366">
        <v>27609153.460996971</v>
      </c>
      <c r="L156" s="366">
        <v>333172764.03670734</v>
      </c>
      <c r="M156" s="367">
        <v>8.2867378252908838E-2</v>
      </c>
    </row>
    <row r="157" spans="2:13" ht="17.399999999999999" customHeight="1">
      <c r="B157" s="356" t="s">
        <v>90</v>
      </c>
      <c r="C157" s="357">
        <v>68</v>
      </c>
      <c r="D157" s="358">
        <v>176645472.34469438</v>
      </c>
      <c r="E157" s="358">
        <v>2429224</v>
      </c>
      <c r="F157" s="358">
        <v>72716.831525085538</v>
      </c>
      <c r="G157" s="358">
        <v>14904572.199348167</v>
      </c>
      <c r="H157" s="358">
        <v>19063814.58209011</v>
      </c>
      <c r="I157" s="358">
        <v>31568510.158629254</v>
      </c>
      <c r="J157" s="358">
        <v>28882201.635870352</v>
      </c>
      <c r="K157" s="358">
        <v>23604774.643984471</v>
      </c>
      <c r="L157" s="358">
        <v>130475588.11306998</v>
      </c>
      <c r="M157" s="359">
        <v>0.18091334160937908</v>
      </c>
    </row>
    <row r="158" spans="2:13" ht="17.399999999999999" customHeight="1">
      <c r="B158" s="352" t="s">
        <v>137</v>
      </c>
      <c r="C158" s="353">
        <v>23</v>
      </c>
      <c r="D158" s="354">
        <v>184414707.12469438</v>
      </c>
      <c r="E158" s="354">
        <v>1616867</v>
      </c>
      <c r="F158" s="354">
        <v>114056.81922180016</v>
      </c>
      <c r="G158" s="354">
        <v>14206903.679348167</v>
      </c>
      <c r="H158" s="354">
        <v>18608652.58209011</v>
      </c>
      <c r="I158" s="354">
        <v>31050497.090057824</v>
      </c>
      <c r="J158" s="354">
        <v>32534050.224441782</v>
      </c>
      <c r="K158" s="354">
        <v>24100025.893984471</v>
      </c>
      <c r="L158" s="354">
        <v>227924970.74720651</v>
      </c>
      <c r="M158" s="355">
        <v>0.10573666331941317</v>
      </c>
    </row>
    <row r="159" spans="2:13" ht="17.399999999999999" customHeight="1">
      <c r="B159" s="352" t="s">
        <v>94</v>
      </c>
      <c r="C159" s="353">
        <v>15</v>
      </c>
      <c r="D159" s="354">
        <v>153990070.34469438</v>
      </c>
      <c r="E159" s="354">
        <v>3256140</v>
      </c>
      <c r="F159" s="354">
        <v>47292.2141998484</v>
      </c>
      <c r="G159" s="354">
        <v>13849732.199348167</v>
      </c>
      <c r="H159" s="354">
        <v>17929829.58209011</v>
      </c>
      <c r="I159" s="354">
        <v>29602968.158629254</v>
      </c>
      <c r="J159" s="354">
        <v>26778035.635870352</v>
      </c>
      <c r="K159" s="354">
        <v>22040141.393984471</v>
      </c>
      <c r="L159" s="354">
        <v>101091392.2250838</v>
      </c>
      <c r="M159" s="355">
        <v>0.2180219394437784</v>
      </c>
    </row>
    <row r="160" spans="2:13" ht="17.399999999999999" customHeight="1" thickBot="1">
      <c r="B160" s="360" t="s">
        <v>70</v>
      </c>
      <c r="C160" s="361">
        <v>242</v>
      </c>
      <c r="D160" s="362">
        <v>1330530586.0547745</v>
      </c>
      <c r="E160" s="362">
        <v>11855975</v>
      </c>
      <c r="F160" s="362">
        <v>112224.4763551521</v>
      </c>
      <c r="G160" s="362">
        <v>41593127.919348165</v>
      </c>
      <c r="H160" s="362">
        <v>62133396.642930105</v>
      </c>
      <c r="I160" s="362">
        <v>96299313.638629258</v>
      </c>
      <c r="J160" s="362">
        <v>83395822.882560357</v>
      </c>
      <c r="K160" s="362">
        <v>70855415.270866975</v>
      </c>
      <c r="L160" s="362">
        <v>4290630470.8923554</v>
      </c>
      <c r="M160" s="363">
        <v>1.6513986872453881E-2</v>
      </c>
    </row>
    <row r="161" spans="2:22" ht="15" thickBot="1">
      <c r="B161" s="221"/>
      <c r="C161" s="260"/>
      <c r="D161" s="260"/>
      <c r="E161" s="260"/>
      <c r="F161" s="260"/>
      <c r="G161" s="260"/>
      <c r="H161" s="260"/>
      <c r="I161" s="260"/>
      <c r="J161" s="260"/>
      <c r="K161" s="260"/>
      <c r="L161" s="260"/>
      <c r="M161" s="221"/>
    </row>
    <row r="162" spans="2:22" ht="15" thickBot="1">
      <c r="B162" s="261" t="s">
        <v>202</v>
      </c>
      <c r="C162" s="262" t="s">
        <v>612</v>
      </c>
      <c r="D162" s="265">
        <v>6036492480.186698</v>
      </c>
      <c r="E162" s="265">
        <v>92335113</v>
      </c>
      <c r="F162" s="265">
        <v>65375.914796212979</v>
      </c>
      <c r="G162" s="265">
        <v>296344831.76718885</v>
      </c>
      <c r="H162" s="265">
        <v>507565391.74419528</v>
      </c>
      <c r="I162" s="265">
        <v>828334247.4014374</v>
      </c>
      <c r="J162" s="265">
        <v>831819350.93646753</v>
      </c>
      <c r="K162" s="265">
        <v>616015955.46232235</v>
      </c>
      <c r="L162" s="265">
        <v>11548191402.098953</v>
      </c>
      <c r="M162" s="290">
        <v>5.3343067672948143E-2</v>
      </c>
    </row>
    <row r="163" spans="2:22" ht="18">
      <c r="M163" s="368" t="s">
        <v>616</v>
      </c>
    </row>
    <row r="164" spans="2:22"/>
    <row r="165" spans="2:22" s="238" customFormat="1"/>
    <row r="166" spans="2:22"/>
    <row r="167" spans="2:22"/>
    <row r="168" spans="2:22"/>
    <row r="169" spans="2:22"/>
    <row r="170" spans="2:22">
      <c r="C170" s="291">
        <f>SUM(C190:C190)</f>
        <v>68</v>
      </c>
      <c r="D170" s="291">
        <f>SUM(F174:F175)</f>
        <v>1875236716.8598039</v>
      </c>
      <c r="G170" s="291">
        <f>SUM(I174:I175)</f>
        <v>92335113</v>
      </c>
      <c r="H170" s="291">
        <f>SUM(J174:J175)</f>
        <v>0</v>
      </c>
      <c r="I170" s="291">
        <f>SUM(L174:L175)</f>
        <v>231297447.38891882</v>
      </c>
      <c r="J170" s="291">
        <f>SUM(N174:N175)</f>
        <v>300765556.89553189</v>
      </c>
    </row>
    <row r="171" spans="2:22">
      <c r="C171" s="291">
        <f>C170/17</f>
        <v>4</v>
      </c>
      <c r="D171" s="291">
        <f>D170/17</f>
        <v>110308042.16822375</v>
      </c>
      <c r="G171" s="291">
        <f>G170/17</f>
        <v>5431477.2352941176</v>
      </c>
      <c r="H171" s="291">
        <f>H170/17</f>
        <v>0</v>
      </c>
      <c r="I171" s="291">
        <f>I170/17</f>
        <v>13605732.199348167</v>
      </c>
      <c r="J171" s="291">
        <f>J170/17</f>
        <v>17692091.58209011</v>
      </c>
    </row>
    <row r="172" spans="2:22" ht="17.399999999999999">
      <c r="B172" s="292" t="s">
        <v>587</v>
      </c>
      <c r="M172" s="291">
        <f>$H$248/4</f>
        <v>28671616.954250097</v>
      </c>
      <c r="O172" s="291">
        <f>$H$248/4</f>
        <v>28671616.954250097</v>
      </c>
      <c r="Q172" s="291">
        <f>$H$248/4</f>
        <v>28671616.954250097</v>
      </c>
      <c r="S172" s="291">
        <f>$H$248/4</f>
        <v>28671616.954250097</v>
      </c>
    </row>
    <row r="173" spans="2:22" ht="47.4" customHeight="1">
      <c r="B173" s="199" t="s">
        <v>572</v>
      </c>
      <c r="C173" s="199" t="s">
        <v>240</v>
      </c>
      <c r="D173" s="199" t="s">
        <v>582</v>
      </c>
      <c r="E173" s="199" t="s">
        <v>618</v>
      </c>
      <c r="F173" s="199" t="s">
        <v>602</v>
      </c>
      <c r="G173" s="199" t="s">
        <v>620</v>
      </c>
      <c r="H173" s="199" t="s">
        <v>619</v>
      </c>
      <c r="I173" s="199" t="s">
        <v>583</v>
      </c>
      <c r="J173" s="199" t="s">
        <v>584</v>
      </c>
      <c r="K173" s="199" t="s">
        <v>625</v>
      </c>
      <c r="L173" s="199">
        <v>2013</v>
      </c>
      <c r="M173" s="199" t="s">
        <v>621</v>
      </c>
      <c r="N173" s="199">
        <v>2014</v>
      </c>
      <c r="O173" s="199" t="s">
        <v>622</v>
      </c>
      <c r="P173" s="199">
        <v>2015</v>
      </c>
      <c r="Q173" s="199" t="s">
        <v>609</v>
      </c>
      <c r="R173" s="199">
        <v>2016</v>
      </c>
      <c r="S173" s="199" t="s">
        <v>610</v>
      </c>
      <c r="T173" s="199" t="s">
        <v>588</v>
      </c>
      <c r="U173" s="199" t="s">
        <v>585</v>
      </c>
      <c r="V173" s="199" t="s">
        <v>586</v>
      </c>
    </row>
    <row r="174" spans="2:22" ht="17.399999999999999" customHeight="1">
      <c r="B174" s="373" t="s">
        <v>14</v>
      </c>
      <c r="C174" s="258">
        <v>168</v>
      </c>
      <c r="D174" s="374">
        <v>1675871622.032804</v>
      </c>
      <c r="E174" s="374"/>
      <c r="F174" s="374">
        <f>SUM(D174:E174)</f>
        <v>1675871622.032804</v>
      </c>
      <c r="G174" s="374">
        <f>-F174</f>
        <v>-1675871622.032804</v>
      </c>
      <c r="H174" s="380">
        <f>SUM(F174:G174)</f>
        <v>0</v>
      </c>
      <c r="I174" s="374">
        <v>92335113</v>
      </c>
      <c r="J174" s="380" t="s">
        <v>571</v>
      </c>
      <c r="K174" s="380">
        <v>0</v>
      </c>
      <c r="L174" s="374">
        <v>192307128.44891882</v>
      </c>
      <c r="M174" s="380">
        <v>0</v>
      </c>
      <c r="N174" s="374">
        <v>256699320.42553189</v>
      </c>
      <c r="O174" s="380">
        <v>0</v>
      </c>
      <c r="P174" s="374">
        <v>353727451.69669729</v>
      </c>
      <c r="Q174" s="380">
        <v>0</v>
      </c>
      <c r="R174" s="374">
        <v>278729839.40279597</v>
      </c>
      <c r="S174" s="380">
        <v>0</v>
      </c>
      <c r="T174" s="374">
        <f>AVERAGE(S174,Q174,O174,M174)</f>
        <v>0</v>
      </c>
      <c r="U174" s="374">
        <v>11548191402.098953</v>
      </c>
      <c r="V174" s="375">
        <f>T174/U174</f>
        <v>0</v>
      </c>
    </row>
    <row r="175" spans="2:22" ht="17.399999999999999" customHeight="1">
      <c r="B175" s="373" t="s">
        <v>573</v>
      </c>
      <c r="C175" s="258">
        <v>121</v>
      </c>
      <c r="D175" s="374">
        <v>864707646.8269999</v>
      </c>
      <c r="E175" s="374">
        <f>-SUM(E228:E244)</f>
        <v>-665342552</v>
      </c>
      <c r="F175" s="374">
        <f t="shared" ref="F175:F193" si="30">SUM(D175:E175)</f>
        <v>199365094.8269999</v>
      </c>
      <c r="G175" s="374">
        <f>-F175</f>
        <v>-199365094.8269999</v>
      </c>
      <c r="H175" s="380">
        <f t="shared" ref="H175:H193" si="31">SUM(F175:G175)</f>
        <v>0</v>
      </c>
      <c r="I175" s="374" t="s">
        <v>571</v>
      </c>
      <c r="J175" s="380" t="s">
        <v>571</v>
      </c>
      <c r="K175" s="380">
        <v>0</v>
      </c>
      <c r="L175" s="374">
        <v>38990318.939999998</v>
      </c>
      <c r="M175" s="380">
        <v>0</v>
      </c>
      <c r="N175" s="374">
        <v>44066236.469999999</v>
      </c>
      <c r="O175" s="380">
        <v>0</v>
      </c>
      <c r="P175" s="374">
        <v>144622757</v>
      </c>
      <c r="Q175" s="380">
        <v>0</v>
      </c>
      <c r="R175" s="374">
        <v>146564866.40700001</v>
      </c>
      <c r="S175" s="380">
        <v>0</v>
      </c>
      <c r="T175" s="374">
        <f t="shared" ref="T175:T193" si="32">AVERAGE(S175,Q175,O175,M175)</f>
        <v>0</v>
      </c>
      <c r="U175" s="376" t="s">
        <v>571</v>
      </c>
      <c r="V175" s="377" t="s">
        <v>571</v>
      </c>
    </row>
    <row r="176" spans="2:22" ht="17.399999999999999" customHeight="1">
      <c r="B176" s="373" t="s">
        <v>409</v>
      </c>
      <c r="C176" s="258">
        <v>20</v>
      </c>
      <c r="D176" s="374">
        <v>19857452.493000001</v>
      </c>
      <c r="E176" s="374"/>
      <c r="F176" s="374">
        <f t="shared" si="30"/>
        <v>19857452.493000001</v>
      </c>
      <c r="G176" s="374"/>
      <c r="H176" s="380">
        <f t="shared" si="31"/>
        <v>19857452.493000001</v>
      </c>
      <c r="I176" s="374" t="s">
        <v>571</v>
      </c>
      <c r="J176" s="380" t="s">
        <v>571</v>
      </c>
      <c r="K176" s="380">
        <v>0</v>
      </c>
      <c r="L176" s="374">
        <v>6819249</v>
      </c>
      <c r="M176" s="380">
        <f>SUM(L176)</f>
        <v>6819249</v>
      </c>
      <c r="N176" s="374">
        <v>5181861</v>
      </c>
      <c r="O176" s="380">
        <f>SUM(N176)</f>
        <v>5181861</v>
      </c>
      <c r="P176" s="374">
        <v>3834598</v>
      </c>
      <c r="Q176" s="380">
        <f>SUM(P176)</f>
        <v>3834598</v>
      </c>
      <c r="R176" s="374">
        <v>3951040.4929999998</v>
      </c>
      <c r="S176" s="380">
        <f>SUM(R176)</f>
        <v>3951040.4929999998</v>
      </c>
      <c r="T176" s="374">
        <f t="shared" si="32"/>
        <v>4946687.1232500002</v>
      </c>
      <c r="U176" s="376" t="s">
        <v>571</v>
      </c>
      <c r="V176" s="377" t="s">
        <v>571</v>
      </c>
    </row>
    <row r="177" spans="2:22" ht="17.399999999999999" customHeight="1">
      <c r="B177" s="211" t="s">
        <v>98</v>
      </c>
      <c r="C177" s="155">
        <v>109</v>
      </c>
      <c r="D177" s="378">
        <v>49807751.28779</v>
      </c>
      <c r="E177" s="378">
        <v>14368738.435897436</v>
      </c>
      <c r="F177" s="374">
        <f t="shared" si="30"/>
        <v>64176489.72368744</v>
      </c>
      <c r="G177" s="374">
        <v>110308042.16822375</v>
      </c>
      <c r="H177" s="380">
        <f t="shared" si="31"/>
        <v>174484531.89191121</v>
      </c>
      <c r="I177" s="378">
        <v>4748372</v>
      </c>
      <c r="J177" s="380">
        <f>H177/I177*1000</f>
        <v>36746.179931124017</v>
      </c>
      <c r="K177" s="380">
        <v>10983454.935897436</v>
      </c>
      <c r="L177" s="378">
        <v>1923965.28779</v>
      </c>
      <c r="M177" s="380">
        <f>L177+($K177/4)+(L$174/17)+($M$172/17)</f>
        <v>17668578.751362529</v>
      </c>
      <c r="N177" s="378">
        <v>2019475</v>
      </c>
      <c r="O177" s="380">
        <f>N177+($K177/4)+(N$174/17)+($M$172/17)</f>
        <v>21551864.462196831</v>
      </c>
      <c r="P177" s="378">
        <v>2206515</v>
      </c>
      <c r="Q177" s="380">
        <f>P177+($K177/4)+(P$174/17)+($M$172/17)</f>
        <v>27446441.595794797</v>
      </c>
      <c r="R177" s="378">
        <v>5036812</v>
      </c>
      <c r="S177" s="380">
        <f>R177+($K177/4)+(R$174/17)+($M$172/17)</f>
        <v>25865114.343212366</v>
      </c>
      <c r="T177" s="374">
        <f t="shared" si="32"/>
        <v>23132999.788141631</v>
      </c>
      <c r="U177" s="378">
        <v>359706534.53073072</v>
      </c>
      <c r="V177" s="379">
        <f t="shared" ref="V177:V193" si="33">T177/U177</f>
        <v>6.4310757707865082E-2</v>
      </c>
    </row>
    <row r="178" spans="2:22" ht="17.399999999999999" customHeight="1">
      <c r="B178" s="211" t="s">
        <v>92</v>
      </c>
      <c r="C178" s="155">
        <v>91</v>
      </c>
      <c r="D178" s="378">
        <v>53416840.379349992</v>
      </c>
      <c r="E178" s="378">
        <v>8623956.2692307681</v>
      </c>
      <c r="F178" s="374">
        <f t="shared" si="30"/>
        <v>62040796.64858076</v>
      </c>
      <c r="G178" s="374">
        <v>110308042.16822375</v>
      </c>
      <c r="H178" s="380">
        <f t="shared" si="31"/>
        <v>172348838.81680453</v>
      </c>
      <c r="I178" s="378">
        <v>3229163</v>
      </c>
      <c r="J178" s="380">
        <f t="shared" ref="J178:J193" si="34">H178/I178*1000</f>
        <v>53372.604237322339</v>
      </c>
      <c r="K178" s="380">
        <v>1546415.7692307692</v>
      </c>
      <c r="L178" s="378">
        <v>2338568.86</v>
      </c>
      <c r="M178" s="380">
        <f t="shared" ref="M178:M193" si="35">L178+($K178/4)+(L$174/17)+($M$172/17)</f>
        <v>15723922.531905862</v>
      </c>
      <c r="N178" s="378">
        <v>4215162.8</v>
      </c>
      <c r="O178" s="380">
        <f t="shared" ref="O178:O193" si="36">N178+($K178/4)+(N$174/17)+($M$172/17)</f>
        <v>21388292.470530163</v>
      </c>
      <c r="P178" s="378">
        <v>3526405</v>
      </c>
      <c r="Q178" s="380">
        <f t="shared" ref="Q178:Q193" si="37">P178+($K178/4)+(P$174/17)+($M$172/17)</f>
        <v>26407071.804128129</v>
      </c>
      <c r="R178" s="378">
        <v>9309006.719349999</v>
      </c>
      <c r="S178" s="380">
        <f t="shared" ref="S178:S193" si="38">R178+($K178/4)+(R$174/17)+($M$172/17)</f>
        <v>27778049.270895697</v>
      </c>
      <c r="T178" s="374">
        <f t="shared" si="32"/>
        <v>22824334.019364964</v>
      </c>
      <c r="U178" s="378">
        <v>208546726.68205774</v>
      </c>
      <c r="V178" s="379">
        <f t="shared" si="33"/>
        <v>0.10944470039159167</v>
      </c>
    </row>
    <row r="179" spans="2:22" ht="17.399999999999999" customHeight="1">
      <c r="B179" s="211" t="s">
        <v>97</v>
      </c>
      <c r="C179" s="155">
        <v>150</v>
      </c>
      <c r="D179" s="378">
        <v>783616006.51380002</v>
      </c>
      <c r="E179" s="378">
        <v>239202961.93589744</v>
      </c>
      <c r="F179" s="374">
        <f t="shared" si="30"/>
        <v>1022818968.4496975</v>
      </c>
      <c r="G179" s="374">
        <v>110308042.16822375</v>
      </c>
      <c r="H179" s="380">
        <f t="shared" si="31"/>
        <v>1133127010.6179214</v>
      </c>
      <c r="I179" s="378">
        <v>10137737</v>
      </c>
      <c r="J179" s="380">
        <f t="shared" si="34"/>
        <v>111773.17093725369</v>
      </c>
      <c r="K179" s="380">
        <v>86138804.602564096</v>
      </c>
      <c r="L179" s="378">
        <v>4943381</v>
      </c>
      <c r="M179" s="380">
        <f t="shared" si="35"/>
        <v>39476831.880239196</v>
      </c>
      <c r="N179" s="378">
        <v>58855058.313000001</v>
      </c>
      <c r="O179" s="380">
        <f t="shared" si="36"/>
        <v>97176285.191863477</v>
      </c>
      <c r="P179" s="378">
        <v>83079599</v>
      </c>
      <c r="Q179" s="380">
        <f t="shared" si="37"/>
        <v>127108363.01246145</v>
      </c>
      <c r="R179" s="378">
        <v>169355066.2008</v>
      </c>
      <c r="S179" s="380">
        <f t="shared" si="38"/>
        <v>208972205.96067902</v>
      </c>
      <c r="T179" s="374">
        <f t="shared" si="32"/>
        <v>118183421.51131079</v>
      </c>
      <c r="U179" s="378">
        <v>1018224367.0906494</v>
      </c>
      <c r="V179" s="379">
        <f t="shared" si="33"/>
        <v>0.11606815288559018</v>
      </c>
    </row>
    <row r="180" spans="2:22" ht="17.399999999999999" customHeight="1">
      <c r="B180" s="211" t="s">
        <v>112</v>
      </c>
      <c r="C180" s="155">
        <v>147</v>
      </c>
      <c r="D180" s="378">
        <v>305113156.72333336</v>
      </c>
      <c r="E180" s="378">
        <v>225674911.1025641</v>
      </c>
      <c r="F180" s="374">
        <f t="shared" si="30"/>
        <v>530788067.82589746</v>
      </c>
      <c r="G180" s="374">
        <v>110308042.16822375</v>
      </c>
      <c r="H180" s="380">
        <f t="shared" si="31"/>
        <v>641096109.99412119</v>
      </c>
      <c r="I180" s="378">
        <v>12609803</v>
      </c>
      <c r="J180" s="380">
        <f t="shared" si="34"/>
        <v>50841.088476490964</v>
      </c>
      <c r="K180" s="380">
        <v>101178767.76923077</v>
      </c>
      <c r="L180" s="378">
        <v>6685469.8499999996</v>
      </c>
      <c r="M180" s="380">
        <f t="shared" si="35"/>
        <v>44978911.521905862</v>
      </c>
      <c r="N180" s="378">
        <v>54085457.993333332</v>
      </c>
      <c r="O180" s="380">
        <f t="shared" si="36"/>
        <v>96166675.66386348</v>
      </c>
      <c r="P180" s="378">
        <v>82482502.049999997</v>
      </c>
      <c r="Q180" s="380">
        <f t="shared" si="37"/>
        <v>130271256.85412812</v>
      </c>
      <c r="R180" s="378">
        <v>74431366.609999999</v>
      </c>
      <c r="S180" s="380">
        <f t="shared" si="38"/>
        <v>117808497.16154569</v>
      </c>
      <c r="T180" s="374">
        <f t="shared" si="32"/>
        <v>97306335.300360784</v>
      </c>
      <c r="U180" s="378">
        <v>1881381140.5255404</v>
      </c>
      <c r="V180" s="379">
        <f t="shared" si="33"/>
        <v>5.1720692423428603E-2</v>
      </c>
    </row>
    <row r="181" spans="2:22" ht="17.399999999999999" customHeight="1">
      <c r="B181" s="211" t="s">
        <v>93</v>
      </c>
      <c r="C181" s="155">
        <v>109</v>
      </c>
      <c r="D181" s="378">
        <v>34750919.108999997</v>
      </c>
      <c r="E181" s="378">
        <v>1561664.7692307692</v>
      </c>
      <c r="F181" s="374">
        <f t="shared" si="30"/>
        <v>36312583.878230765</v>
      </c>
      <c r="G181" s="374">
        <v>110308042.16822375</v>
      </c>
      <c r="H181" s="380">
        <f t="shared" si="31"/>
        <v>146620626.04645452</v>
      </c>
      <c r="I181" s="378">
        <v>2744671</v>
      </c>
      <c r="J181" s="380">
        <f t="shared" si="34"/>
        <v>53420.109749567258</v>
      </c>
      <c r="K181" s="380">
        <v>1561664.7692307692</v>
      </c>
      <c r="L181" s="378">
        <v>946992</v>
      </c>
      <c r="M181" s="380">
        <f t="shared" si="35"/>
        <v>14336157.921905862</v>
      </c>
      <c r="N181" s="378">
        <v>3540039</v>
      </c>
      <c r="O181" s="380">
        <f t="shared" si="36"/>
        <v>20716980.920530163</v>
      </c>
      <c r="P181" s="378">
        <v>5972634.4633714287</v>
      </c>
      <c r="Q181" s="380">
        <f t="shared" si="37"/>
        <v>28857113.517499559</v>
      </c>
      <c r="R181" s="378">
        <v>6330131.780228571</v>
      </c>
      <c r="S181" s="380">
        <f t="shared" si="38"/>
        <v>24802986.581774268</v>
      </c>
      <c r="T181" s="374">
        <f t="shared" si="32"/>
        <v>22178309.735427465</v>
      </c>
      <c r="U181" s="378">
        <v>186762077.96572542</v>
      </c>
      <c r="V181" s="379">
        <f t="shared" si="33"/>
        <v>0.11875167580592902</v>
      </c>
    </row>
    <row r="182" spans="2:22" ht="17.399999999999999" customHeight="1">
      <c r="B182" s="211" t="s">
        <v>95</v>
      </c>
      <c r="C182" s="155">
        <v>69</v>
      </c>
      <c r="D182" s="378">
        <v>26969985.26805</v>
      </c>
      <c r="E182" s="378">
        <v>5713798.102564102</v>
      </c>
      <c r="F182" s="374">
        <f t="shared" si="30"/>
        <v>32683783.370614104</v>
      </c>
      <c r="G182" s="374">
        <v>110308042.16822375</v>
      </c>
      <c r="H182" s="380">
        <f t="shared" si="31"/>
        <v>142991825.53883785</v>
      </c>
      <c r="I182" s="378">
        <v>5420411</v>
      </c>
      <c r="J182" s="380">
        <f t="shared" si="34"/>
        <v>26380.255212905045</v>
      </c>
      <c r="K182" s="380">
        <v>4497131.435897436</v>
      </c>
      <c r="L182" s="378">
        <v>643652</v>
      </c>
      <c r="M182" s="380">
        <f t="shared" si="35"/>
        <v>14766684.58857253</v>
      </c>
      <c r="N182" s="378">
        <v>2062488</v>
      </c>
      <c r="O182" s="380">
        <f t="shared" si="36"/>
        <v>19973296.587196831</v>
      </c>
      <c r="P182" s="378">
        <v>4387510</v>
      </c>
      <c r="Q182" s="380">
        <f t="shared" si="37"/>
        <v>28005855.720794797</v>
      </c>
      <c r="R182" s="378">
        <v>6465634.2680500001</v>
      </c>
      <c r="S182" s="380">
        <f t="shared" si="38"/>
        <v>25672355.736262366</v>
      </c>
      <c r="T182" s="374">
        <f t="shared" si="32"/>
        <v>22104548.15820663</v>
      </c>
      <c r="U182" s="378">
        <v>240303495.80133319</v>
      </c>
      <c r="V182" s="379">
        <f t="shared" si="33"/>
        <v>9.1985961687720053E-2</v>
      </c>
    </row>
    <row r="183" spans="2:22" ht="17.399999999999999" customHeight="1">
      <c r="B183" s="211" t="s">
        <v>88</v>
      </c>
      <c r="C183" s="155">
        <v>219</v>
      </c>
      <c r="D183" s="378">
        <v>645904758.14340997</v>
      </c>
      <c r="E183" s="378">
        <v>2778331.435897436</v>
      </c>
      <c r="F183" s="374">
        <f t="shared" si="30"/>
        <v>648683089.57930744</v>
      </c>
      <c r="G183" s="374">
        <v>110308042.16822375</v>
      </c>
      <c r="H183" s="380">
        <f t="shared" si="31"/>
        <v>758991131.74753118</v>
      </c>
      <c r="I183" s="378">
        <v>7102438</v>
      </c>
      <c r="J183" s="380">
        <f t="shared" si="34"/>
        <v>106863.46459448589</v>
      </c>
      <c r="K183" s="380">
        <v>1561664.7692307692</v>
      </c>
      <c r="L183" s="378">
        <v>2360798.5204799999</v>
      </c>
      <c r="M183" s="380">
        <f t="shared" si="35"/>
        <v>15749964.442385862</v>
      </c>
      <c r="N183" s="378">
        <v>14658291.688990001</v>
      </c>
      <c r="O183" s="380">
        <f t="shared" si="36"/>
        <v>31835233.609520163</v>
      </c>
      <c r="P183" s="378">
        <v>10090253.833939999</v>
      </c>
      <c r="Q183" s="380">
        <f t="shared" si="37"/>
        <v>32974732.888068128</v>
      </c>
      <c r="R183" s="378">
        <v>37444535</v>
      </c>
      <c r="S183" s="380">
        <f t="shared" si="38"/>
        <v>55917389.801545702</v>
      </c>
      <c r="T183" s="374">
        <f t="shared" si="32"/>
        <v>34119330.185379967</v>
      </c>
      <c r="U183" s="378">
        <v>455654312.1101864</v>
      </c>
      <c r="V183" s="379">
        <f t="shared" si="33"/>
        <v>7.4879857994472845E-2</v>
      </c>
    </row>
    <row r="184" spans="2:22" ht="17.399999999999999" customHeight="1">
      <c r="B184" s="211" t="s">
        <v>99</v>
      </c>
      <c r="C184" s="155">
        <v>81</v>
      </c>
      <c r="D184" s="378">
        <v>89526166.063049987</v>
      </c>
      <c r="E184" s="378">
        <v>2778331.435897436</v>
      </c>
      <c r="F184" s="374">
        <f t="shared" si="30"/>
        <v>92304497.498947427</v>
      </c>
      <c r="G184" s="374">
        <v>110308042.16822375</v>
      </c>
      <c r="H184" s="380">
        <f t="shared" si="31"/>
        <v>202612539.66717118</v>
      </c>
      <c r="I184" s="378">
        <v>6800180</v>
      </c>
      <c r="J184" s="380">
        <f t="shared" si="34"/>
        <v>29795.173020004058</v>
      </c>
      <c r="K184" s="380">
        <v>1561664.7692307692</v>
      </c>
      <c r="L184" s="378">
        <v>1376242.8</v>
      </c>
      <c r="M184" s="380">
        <f t="shared" si="35"/>
        <v>14765408.721905863</v>
      </c>
      <c r="N184" s="378">
        <v>6934633</v>
      </c>
      <c r="O184" s="380">
        <f t="shared" si="36"/>
        <v>24111574.920530163</v>
      </c>
      <c r="P184" s="378">
        <v>6947198.7990000006</v>
      </c>
      <c r="Q184" s="380">
        <f t="shared" si="37"/>
        <v>29831677.853128128</v>
      </c>
      <c r="R184" s="378">
        <v>5478973.780621429</v>
      </c>
      <c r="S184" s="380">
        <f t="shared" si="38"/>
        <v>23951828.582167126</v>
      </c>
      <c r="T184" s="374">
        <f t="shared" si="32"/>
        <v>23165122.51943282</v>
      </c>
      <c r="U184" s="378">
        <v>732977309.90612817</v>
      </c>
      <c r="V184" s="379">
        <f t="shared" si="33"/>
        <v>3.160414682195218E-2</v>
      </c>
    </row>
    <row r="185" spans="2:22" ht="17.399999999999999" customHeight="1">
      <c r="B185" s="211" t="s">
        <v>87</v>
      </c>
      <c r="C185" s="155">
        <v>147</v>
      </c>
      <c r="D185" s="378">
        <v>56349969.807549998</v>
      </c>
      <c r="E185" s="378">
        <v>2778331.435897436</v>
      </c>
      <c r="F185" s="374">
        <f t="shared" si="30"/>
        <v>59128301.243447438</v>
      </c>
      <c r="G185" s="374">
        <v>110308042.16822375</v>
      </c>
      <c r="H185" s="380">
        <f t="shared" si="31"/>
        <v>169436343.41167119</v>
      </c>
      <c r="I185" s="378">
        <v>4101322</v>
      </c>
      <c r="J185" s="380">
        <f t="shared" si="34"/>
        <v>41312.616617683569</v>
      </c>
      <c r="K185" s="380">
        <v>1561664.7692307692</v>
      </c>
      <c r="L185" s="378">
        <v>3954213.86</v>
      </c>
      <c r="M185" s="380">
        <f t="shared" si="35"/>
        <v>17343379.781905863</v>
      </c>
      <c r="N185" s="378">
        <v>2919122.4325000001</v>
      </c>
      <c r="O185" s="380">
        <f t="shared" si="36"/>
        <v>20096064.353030164</v>
      </c>
      <c r="P185" s="378">
        <v>2799564.247</v>
      </c>
      <c r="Q185" s="380">
        <f t="shared" si="37"/>
        <v>25684043.30112813</v>
      </c>
      <c r="R185" s="378">
        <v>4237784.2680500001</v>
      </c>
      <c r="S185" s="380">
        <f t="shared" si="38"/>
        <v>22710639.069595698</v>
      </c>
      <c r="T185" s="374">
        <f t="shared" si="32"/>
        <v>21458531.626414962</v>
      </c>
      <c r="U185" s="378">
        <v>250344509.37730485</v>
      </c>
      <c r="V185" s="379">
        <f t="shared" si="33"/>
        <v>8.5716006633378555E-2</v>
      </c>
    </row>
    <row r="186" spans="2:22" ht="17.399999999999999" customHeight="1">
      <c r="B186" s="211" t="s">
        <v>89</v>
      </c>
      <c r="C186" s="155">
        <v>71</v>
      </c>
      <c r="D186" s="378">
        <v>22445073.578050002</v>
      </c>
      <c r="E186" s="378">
        <v>550874</v>
      </c>
      <c r="F186" s="374">
        <f t="shared" si="30"/>
        <v>22995947.578050002</v>
      </c>
      <c r="G186" s="374">
        <v>110308042.16822375</v>
      </c>
      <c r="H186" s="380">
        <f t="shared" si="31"/>
        <v>133303989.74627376</v>
      </c>
      <c r="I186" s="378">
        <v>3407353</v>
      </c>
      <c r="J186" s="380">
        <f t="shared" si="34"/>
        <v>39122.447761142968</v>
      </c>
      <c r="K186" s="380">
        <v>550874</v>
      </c>
      <c r="L186" s="378">
        <v>1053689</v>
      </c>
      <c r="M186" s="380">
        <f t="shared" si="35"/>
        <v>14190157.22959817</v>
      </c>
      <c r="N186" s="378">
        <v>1223567</v>
      </c>
      <c r="O186" s="380">
        <f t="shared" si="36"/>
        <v>18147811.228222471</v>
      </c>
      <c r="P186" s="378">
        <v>1974192</v>
      </c>
      <c r="Q186" s="380">
        <f t="shared" si="37"/>
        <v>24605973.361820437</v>
      </c>
      <c r="R186" s="378">
        <v>1908040.5780500001</v>
      </c>
      <c r="S186" s="380">
        <f t="shared" si="38"/>
        <v>20128197.687288005</v>
      </c>
      <c r="T186" s="374">
        <f t="shared" si="32"/>
        <v>19268034.876732271</v>
      </c>
      <c r="U186" s="378">
        <v>230651364.45578188</v>
      </c>
      <c r="V186" s="379">
        <f t="shared" si="33"/>
        <v>8.353748490582262E-2</v>
      </c>
    </row>
    <row r="187" spans="2:22" ht="17.399999999999999" customHeight="1">
      <c r="B187" s="211" t="s">
        <v>91</v>
      </c>
      <c r="C187" s="155">
        <v>89</v>
      </c>
      <c r="D187" s="378">
        <v>56330923.317159995</v>
      </c>
      <c r="E187" s="378">
        <v>2778331.435897436</v>
      </c>
      <c r="F187" s="374">
        <f t="shared" si="30"/>
        <v>59109254.753057435</v>
      </c>
      <c r="G187" s="374">
        <v>110308042.16822375</v>
      </c>
      <c r="H187" s="380">
        <f t="shared" si="31"/>
        <v>169417296.92128119</v>
      </c>
      <c r="I187" s="378">
        <v>4297323</v>
      </c>
      <c r="J187" s="380">
        <f t="shared" si="34"/>
        <v>39423.915056252736</v>
      </c>
      <c r="K187" s="380">
        <v>1561664.7692307692</v>
      </c>
      <c r="L187" s="378">
        <v>882459</v>
      </c>
      <c r="M187" s="380">
        <f t="shared" si="35"/>
        <v>14271624.921905862</v>
      </c>
      <c r="N187" s="378">
        <v>2789691.56</v>
      </c>
      <c r="O187" s="380">
        <f t="shared" si="36"/>
        <v>19966633.480530165</v>
      </c>
      <c r="P187" s="378">
        <v>5426245.9000000004</v>
      </c>
      <c r="Q187" s="380">
        <f t="shared" si="37"/>
        <v>28310724.954128131</v>
      </c>
      <c r="R187" s="378">
        <v>7196623.0571599994</v>
      </c>
      <c r="S187" s="380">
        <f t="shared" si="38"/>
        <v>25669477.858705699</v>
      </c>
      <c r="T187" s="374">
        <f t="shared" si="32"/>
        <v>22054615.303817462</v>
      </c>
      <c r="U187" s="378">
        <v>438917210.64570105</v>
      </c>
      <c r="V187" s="379">
        <f t="shared" si="33"/>
        <v>5.0247779692604029E-2</v>
      </c>
    </row>
    <row r="188" spans="2:22" ht="17.399999999999999" customHeight="1">
      <c r="B188" s="211" t="s">
        <v>100</v>
      </c>
      <c r="C188" s="155">
        <v>65</v>
      </c>
      <c r="D188" s="378">
        <v>57102134.885219999</v>
      </c>
      <c r="E188" s="378">
        <v>4404103.269230769</v>
      </c>
      <c r="F188" s="374">
        <f t="shared" si="30"/>
        <v>61506238.154450767</v>
      </c>
      <c r="G188" s="374">
        <v>110308042.16822375</v>
      </c>
      <c r="H188" s="380">
        <f t="shared" si="31"/>
        <v>171814280.32267451</v>
      </c>
      <c r="I188" s="378">
        <v>4468563</v>
      </c>
      <c r="J188" s="380">
        <f t="shared" si="34"/>
        <v>38449.559807632679</v>
      </c>
      <c r="K188" s="380">
        <v>1703786.7692307692</v>
      </c>
      <c r="L188" s="378">
        <v>155510</v>
      </c>
      <c r="M188" s="380">
        <f t="shared" si="35"/>
        <v>13580206.421905862</v>
      </c>
      <c r="N188" s="378">
        <v>818710</v>
      </c>
      <c r="O188" s="380">
        <f t="shared" si="36"/>
        <v>18031182.420530163</v>
      </c>
      <c r="P188" s="378">
        <v>24360375</v>
      </c>
      <c r="Q188" s="380">
        <f t="shared" si="37"/>
        <v>47280384.554128133</v>
      </c>
      <c r="R188" s="378">
        <v>2046891.2680500001</v>
      </c>
      <c r="S188" s="380">
        <f t="shared" si="38"/>
        <v>20555276.569595698</v>
      </c>
      <c r="T188" s="374">
        <f t="shared" si="32"/>
        <v>24861762.491539966</v>
      </c>
      <c r="U188" s="378">
        <v>461427166.99339223</v>
      </c>
      <c r="V188" s="379">
        <f t="shared" si="33"/>
        <v>5.3880144625069279E-2</v>
      </c>
    </row>
    <row r="189" spans="2:22" ht="17.399999999999999" customHeight="1">
      <c r="B189" s="211" t="s">
        <v>101</v>
      </c>
      <c r="C189" s="155">
        <v>51</v>
      </c>
      <c r="D189" s="378">
        <v>46924595.26805</v>
      </c>
      <c r="E189" s="378">
        <v>11590573.269230768</v>
      </c>
      <c r="F189" s="374">
        <f t="shared" si="30"/>
        <v>58515168.537280768</v>
      </c>
      <c r="G189" s="374">
        <v>110308042.16822375</v>
      </c>
      <c r="H189" s="380">
        <f t="shared" si="31"/>
        <v>168823210.70550454</v>
      </c>
      <c r="I189" s="378">
        <v>4109571</v>
      </c>
      <c r="J189" s="380">
        <f t="shared" si="34"/>
        <v>41080.494948378924</v>
      </c>
      <c r="K189" s="380">
        <v>1703786.7692307692</v>
      </c>
      <c r="L189" s="378">
        <v>831786</v>
      </c>
      <c r="M189" s="380">
        <f t="shared" si="35"/>
        <v>14256482.421905862</v>
      </c>
      <c r="N189" s="378">
        <v>528950</v>
      </c>
      <c r="O189" s="380">
        <f t="shared" si="36"/>
        <v>17741422.420530163</v>
      </c>
      <c r="P189" s="378">
        <v>21634029</v>
      </c>
      <c r="Q189" s="380">
        <f t="shared" si="37"/>
        <v>44554038.554128133</v>
      </c>
      <c r="R189" s="378">
        <v>1811971.2680500001</v>
      </c>
      <c r="S189" s="380">
        <f t="shared" si="38"/>
        <v>20320356.569595698</v>
      </c>
      <c r="T189" s="374">
        <f t="shared" si="32"/>
        <v>24218074.991539966</v>
      </c>
      <c r="U189" s="378">
        <v>333172764.03670734</v>
      </c>
      <c r="V189" s="379">
        <f t="shared" si="33"/>
        <v>7.2689239955015458E-2</v>
      </c>
    </row>
    <row r="190" spans="2:22" ht="17.399999999999999" customHeight="1">
      <c r="B190" s="211" t="s">
        <v>90</v>
      </c>
      <c r="C190" s="155">
        <v>68</v>
      </c>
      <c r="D190" s="378">
        <v>27199633</v>
      </c>
      <c r="E190" s="378">
        <v>1010790.7692307692</v>
      </c>
      <c r="F190" s="374">
        <f t="shared" si="30"/>
        <v>28210423.769230768</v>
      </c>
      <c r="G190" s="374">
        <v>110308042.16822375</v>
      </c>
      <c r="H190" s="380">
        <f t="shared" si="31"/>
        <v>138518465.93745452</v>
      </c>
      <c r="I190" s="378">
        <v>2429224</v>
      </c>
      <c r="J190" s="380">
        <f t="shared" si="34"/>
        <v>57021.693321593448</v>
      </c>
      <c r="K190" s="380">
        <v>1010790.7692307692</v>
      </c>
      <c r="L190" s="378">
        <v>1298840</v>
      </c>
      <c r="M190" s="380">
        <f t="shared" si="35"/>
        <v>14550287.421905862</v>
      </c>
      <c r="N190" s="378">
        <v>1371723</v>
      </c>
      <c r="O190" s="380">
        <f t="shared" si="36"/>
        <v>18410946.420530163</v>
      </c>
      <c r="P190" s="378">
        <v>2253792</v>
      </c>
      <c r="Q190" s="380">
        <f t="shared" si="37"/>
        <v>25000552.554128129</v>
      </c>
      <c r="R190" s="378">
        <v>3864866</v>
      </c>
      <c r="S190" s="380">
        <f t="shared" si="38"/>
        <v>22200002.301545698</v>
      </c>
      <c r="T190" s="374">
        <f t="shared" si="32"/>
        <v>20040447.174527463</v>
      </c>
      <c r="U190" s="378">
        <v>130475588.11306998</v>
      </c>
      <c r="V190" s="379">
        <f t="shared" si="33"/>
        <v>0.15359537722229261</v>
      </c>
    </row>
    <row r="191" spans="2:22" ht="17.399999999999999" customHeight="1">
      <c r="B191" s="211" t="s">
        <v>137</v>
      </c>
      <c r="C191" s="155">
        <v>23</v>
      </c>
      <c r="D191" s="378">
        <v>34968867.780000001</v>
      </c>
      <c r="E191" s="378">
        <v>550874</v>
      </c>
      <c r="F191" s="374">
        <f t="shared" si="30"/>
        <v>35519741.780000001</v>
      </c>
      <c r="G191" s="374">
        <v>110308042.16822375</v>
      </c>
      <c r="H191" s="380">
        <f t="shared" si="31"/>
        <v>145827783.94822377</v>
      </c>
      <c r="I191" s="378">
        <v>1616867</v>
      </c>
      <c r="J191" s="380">
        <f t="shared" si="34"/>
        <v>90191.576640641302</v>
      </c>
      <c r="K191" s="380">
        <v>550874</v>
      </c>
      <c r="L191" s="378">
        <v>601171.48</v>
      </c>
      <c r="M191" s="380">
        <f t="shared" si="35"/>
        <v>13737639.709598171</v>
      </c>
      <c r="N191" s="378">
        <v>916561</v>
      </c>
      <c r="O191" s="380">
        <f t="shared" si="36"/>
        <v>17840805.228222471</v>
      </c>
      <c r="P191" s="378">
        <v>1735778.9314285708</v>
      </c>
      <c r="Q191" s="380">
        <f t="shared" si="37"/>
        <v>24367560.293249007</v>
      </c>
      <c r="R191" s="378">
        <v>7516714.5885714293</v>
      </c>
      <c r="S191" s="380">
        <f t="shared" si="38"/>
        <v>25736871.697809435</v>
      </c>
      <c r="T191" s="374">
        <f t="shared" si="32"/>
        <v>20420719.232219771</v>
      </c>
      <c r="U191" s="378">
        <v>227924970.74720651</v>
      </c>
      <c r="V191" s="379">
        <f t="shared" si="33"/>
        <v>8.9594041255218859E-2</v>
      </c>
    </row>
    <row r="192" spans="2:22" ht="17.399999999999999" customHeight="1">
      <c r="B192" s="211" t="s">
        <v>94</v>
      </c>
      <c r="C192" s="155">
        <v>15</v>
      </c>
      <c r="D192" s="378">
        <v>4544231</v>
      </c>
      <c r="E192" s="378">
        <v>7186470</v>
      </c>
      <c r="F192" s="374">
        <f t="shared" si="30"/>
        <v>11730701</v>
      </c>
      <c r="G192" s="374">
        <v>110308042.16822375</v>
      </c>
      <c r="H192" s="380">
        <f t="shared" si="31"/>
        <v>122038743.16822375</v>
      </c>
      <c r="I192" s="378">
        <v>3256140</v>
      </c>
      <c r="J192" s="380">
        <f t="shared" si="34"/>
        <v>37479.574947091874</v>
      </c>
      <c r="K192" s="380">
        <v>0</v>
      </c>
      <c r="L192" s="378">
        <v>244000</v>
      </c>
      <c r="M192" s="380">
        <f t="shared" si="35"/>
        <v>13242749.72959817</v>
      </c>
      <c r="N192" s="378">
        <v>237738</v>
      </c>
      <c r="O192" s="380">
        <f t="shared" si="36"/>
        <v>17024263.728222471</v>
      </c>
      <c r="P192" s="378">
        <v>288250</v>
      </c>
      <c r="Q192" s="380">
        <f t="shared" si="37"/>
        <v>22782312.861820437</v>
      </c>
      <c r="R192" s="378">
        <v>1760700</v>
      </c>
      <c r="S192" s="380">
        <f t="shared" si="38"/>
        <v>19843138.609238006</v>
      </c>
      <c r="T192" s="374">
        <f t="shared" si="32"/>
        <v>18223116.232219771</v>
      </c>
      <c r="U192" s="378">
        <v>101091392.2250838</v>
      </c>
      <c r="V192" s="379">
        <f t="shared" si="33"/>
        <v>0.18026377747024508</v>
      </c>
    </row>
    <row r="193" spans="2:22" ht="17.399999999999999" customHeight="1">
      <c r="B193" s="211" t="s">
        <v>70</v>
      </c>
      <c r="C193" s="155">
        <v>242</v>
      </c>
      <c r="D193" s="378">
        <v>1181084746.7100801</v>
      </c>
      <c r="E193" s="378">
        <v>133789510.33333334</v>
      </c>
      <c r="F193" s="374">
        <f t="shared" si="30"/>
        <v>1314874257.0434134</v>
      </c>
      <c r="G193" s="374">
        <v>110308042.16822375</v>
      </c>
      <c r="H193" s="380">
        <f t="shared" si="31"/>
        <v>1425182299.2116373</v>
      </c>
      <c r="I193" s="378">
        <v>11855975</v>
      </c>
      <c r="J193" s="380">
        <f t="shared" si="34"/>
        <v>120207.93728155106</v>
      </c>
      <c r="K193" s="380">
        <v>41884700.333333336</v>
      </c>
      <c r="L193" s="378">
        <v>27987395.720000003</v>
      </c>
      <c r="M193" s="380">
        <f t="shared" si="35"/>
        <v>51457320.532931507</v>
      </c>
      <c r="N193" s="378">
        <v>44441305.060839996</v>
      </c>
      <c r="O193" s="380">
        <f t="shared" si="36"/>
        <v>71699005.872395799</v>
      </c>
      <c r="P193" s="378">
        <v>66984595.480000004</v>
      </c>
      <c r="Q193" s="380">
        <f t="shared" si="37"/>
        <v>99949833.425153762</v>
      </c>
      <c r="R193" s="378">
        <v>58378487.246690005</v>
      </c>
      <c r="S193" s="380">
        <f t="shared" si="38"/>
        <v>86932100.939261332</v>
      </c>
      <c r="T193" s="374">
        <f t="shared" si="32"/>
        <v>77509565.192435607</v>
      </c>
      <c r="U193" s="378">
        <v>4290630470.8923554</v>
      </c>
      <c r="V193" s="379">
        <f t="shared" si="33"/>
        <v>1.8064842851944634E-2</v>
      </c>
    </row>
    <row r="194" spans="2:22" ht="15" thickBot="1">
      <c r="B194" s="221"/>
      <c r="C194" s="260"/>
      <c r="D194" s="260"/>
      <c r="E194" s="260"/>
      <c r="F194" s="260"/>
      <c r="G194" s="260"/>
      <c r="H194" s="260"/>
      <c r="I194" s="260"/>
      <c r="J194" s="260"/>
      <c r="K194" s="260"/>
      <c r="L194" s="260"/>
      <c r="M194" s="260"/>
      <c r="N194" s="260"/>
      <c r="O194" s="260"/>
      <c r="P194" s="260"/>
      <c r="Q194" s="260"/>
      <c r="R194" s="260"/>
      <c r="S194" s="260"/>
      <c r="T194" s="260"/>
      <c r="U194" s="260"/>
      <c r="V194" s="221"/>
    </row>
    <row r="195" spans="2:22" ht="15" thickBot="1">
      <c r="B195" s="261" t="s">
        <v>202</v>
      </c>
      <c r="C195" s="262">
        <v>2055</v>
      </c>
      <c r="D195" s="265">
        <f>SUM(D174:D193)</f>
        <v>6036492480.186698</v>
      </c>
      <c r="E195" s="265"/>
      <c r="F195" s="265">
        <f>SUM(F174:F193)</f>
        <v>6036492480.1866961</v>
      </c>
      <c r="G195" s="265"/>
      <c r="H195" s="265">
        <f>SUM(H174:H193)</f>
        <v>6036492480.186697</v>
      </c>
      <c r="I195" s="265">
        <v>92335113</v>
      </c>
      <c r="J195" s="265">
        <f>H195/I195*1000</f>
        <v>65375.914796212979</v>
      </c>
      <c r="K195" s="265"/>
      <c r="L195" s="265">
        <f>SUM(L174:L193)</f>
        <v>296344831.76718885</v>
      </c>
      <c r="M195" s="265">
        <f t="shared" ref="M195:S195" si="39">SUM(M174:M193)</f>
        <v>350915557.53143895</v>
      </c>
      <c r="N195" s="265">
        <f t="shared" si="39"/>
        <v>507565391.74419528</v>
      </c>
      <c r="O195" s="265">
        <f t="shared" si="39"/>
        <v>557060199.97844517</v>
      </c>
      <c r="P195" s="265">
        <f t="shared" si="39"/>
        <v>828334247.40143716</v>
      </c>
      <c r="Q195" s="265">
        <f t="shared" si="39"/>
        <v>777272535.10568762</v>
      </c>
      <c r="R195" s="265">
        <f t="shared" si="39"/>
        <v>831819350.93646729</v>
      </c>
      <c r="S195" s="265">
        <f t="shared" si="39"/>
        <v>778815529.2337178</v>
      </c>
      <c r="T195" s="265">
        <f>SUM(T174:T193)</f>
        <v>616015955.46232235</v>
      </c>
      <c r="U195" s="265">
        <v>11548191402.098953</v>
      </c>
      <c r="V195" s="290">
        <f>T195/U195</f>
        <v>5.3343067672948143E-2</v>
      </c>
    </row>
    <row r="196" spans="2:22"/>
    <row r="197" spans="2:22"/>
    <row r="198" spans="2:22"/>
    <row r="199" spans="2:22"/>
    <row r="200" spans="2:22"/>
    <row r="201" spans="2:22"/>
    <row r="202" spans="2:22" ht="18" thickBot="1">
      <c r="B202" s="292" t="s">
        <v>587</v>
      </c>
    </row>
    <row r="203" spans="2:22" ht="47.4" customHeight="1" thickBot="1">
      <c r="B203" s="271" t="s">
        <v>572</v>
      </c>
      <c r="C203" s="272" t="s">
        <v>240</v>
      </c>
      <c r="D203" s="270" t="s">
        <v>582</v>
      </c>
      <c r="E203" s="270" t="s">
        <v>583</v>
      </c>
      <c r="F203" s="270" t="s">
        <v>584</v>
      </c>
      <c r="G203" s="270">
        <v>2013</v>
      </c>
      <c r="H203" s="270">
        <v>2014</v>
      </c>
      <c r="I203" s="270">
        <v>2015</v>
      </c>
      <c r="J203" s="270">
        <v>2016</v>
      </c>
      <c r="K203" s="270" t="s">
        <v>611</v>
      </c>
      <c r="L203" s="270" t="s">
        <v>585</v>
      </c>
      <c r="M203" s="72" t="s">
        <v>586</v>
      </c>
    </row>
    <row r="204" spans="2:22" ht="17.399999999999999" customHeight="1">
      <c r="B204" s="348" t="s">
        <v>615</v>
      </c>
      <c r="C204" s="349">
        <v>20</v>
      </c>
      <c r="D204" s="350">
        <v>19857452.493000001</v>
      </c>
      <c r="E204" s="350">
        <v>0</v>
      </c>
      <c r="F204" s="350">
        <v>0</v>
      </c>
      <c r="G204" s="350">
        <v>6819249</v>
      </c>
      <c r="H204" s="350">
        <v>5181861</v>
      </c>
      <c r="I204" s="350">
        <v>3834598</v>
      </c>
      <c r="J204" s="350">
        <v>3951040.4929999998</v>
      </c>
      <c r="K204" s="350">
        <v>4946687.1232500002</v>
      </c>
      <c r="L204" s="350">
        <v>0</v>
      </c>
      <c r="M204" s="351">
        <v>0</v>
      </c>
    </row>
    <row r="205" spans="2:22" ht="17.399999999999999" customHeight="1">
      <c r="B205" s="352" t="s">
        <v>98</v>
      </c>
      <c r="C205" s="353">
        <v>109</v>
      </c>
      <c r="D205" s="354">
        <v>174484531.89191121</v>
      </c>
      <c r="E205" s="354">
        <v>4748372</v>
      </c>
      <c r="F205" s="354">
        <v>36746.179931124017</v>
      </c>
      <c r="G205" s="354">
        <v>17668578.751362529</v>
      </c>
      <c r="H205" s="354">
        <v>21551864.462196831</v>
      </c>
      <c r="I205" s="354">
        <v>27446441.595794797</v>
      </c>
      <c r="J205" s="354">
        <v>25865114.343212366</v>
      </c>
      <c r="K205" s="354">
        <v>23132999.788141631</v>
      </c>
      <c r="L205" s="354">
        <v>1018224367.0906494</v>
      </c>
      <c r="M205" s="355">
        <v>6.4310757707865082E-2</v>
      </c>
    </row>
    <row r="206" spans="2:22" ht="17.399999999999999" customHeight="1">
      <c r="B206" s="356" t="s">
        <v>92</v>
      </c>
      <c r="C206" s="357">
        <v>91</v>
      </c>
      <c r="D206" s="358">
        <v>172348838.81680453</v>
      </c>
      <c r="E206" s="358">
        <v>3229163</v>
      </c>
      <c r="F206" s="358">
        <v>53372.604237322339</v>
      </c>
      <c r="G206" s="358">
        <v>15723922.531905862</v>
      </c>
      <c r="H206" s="358">
        <v>21388292.470530163</v>
      </c>
      <c r="I206" s="358">
        <v>26407071.804128129</v>
      </c>
      <c r="J206" s="358">
        <v>27778049.270895697</v>
      </c>
      <c r="K206" s="358">
        <v>22824334.019364964</v>
      </c>
      <c r="L206" s="358">
        <v>455654312.1101864</v>
      </c>
      <c r="M206" s="359">
        <v>0.10944470039159167</v>
      </c>
    </row>
    <row r="207" spans="2:22" ht="17.399999999999999" customHeight="1">
      <c r="B207" s="356" t="s">
        <v>97</v>
      </c>
      <c r="C207" s="357">
        <v>150</v>
      </c>
      <c r="D207" s="358">
        <v>1133127010.6179214</v>
      </c>
      <c r="E207" s="358">
        <v>10137737</v>
      </c>
      <c r="F207" s="358">
        <v>111773.17093725369</v>
      </c>
      <c r="G207" s="358">
        <v>39476831.880239196</v>
      </c>
      <c r="H207" s="358">
        <v>97176285.191863477</v>
      </c>
      <c r="I207" s="358">
        <v>127108363.01246145</v>
      </c>
      <c r="J207" s="358">
        <v>208972205.96067902</v>
      </c>
      <c r="K207" s="358">
        <v>118183421.51131079</v>
      </c>
      <c r="L207" s="358">
        <v>1881381140.5255404</v>
      </c>
      <c r="M207" s="359">
        <v>0.11606815288559018</v>
      </c>
    </row>
    <row r="208" spans="2:22" ht="17.399999999999999" customHeight="1">
      <c r="B208" s="356" t="s">
        <v>112</v>
      </c>
      <c r="C208" s="357">
        <v>147</v>
      </c>
      <c r="D208" s="358">
        <v>641096109.99412119</v>
      </c>
      <c r="E208" s="358">
        <v>12609803</v>
      </c>
      <c r="F208" s="358">
        <v>50841.088476490964</v>
      </c>
      <c r="G208" s="358">
        <v>44978911.521905862</v>
      </c>
      <c r="H208" s="358">
        <v>96166675.66386348</v>
      </c>
      <c r="I208" s="358">
        <v>130271256.85412812</v>
      </c>
      <c r="J208" s="358">
        <v>117808497.16154569</v>
      </c>
      <c r="K208" s="358">
        <v>97306335.300360784</v>
      </c>
      <c r="L208" s="358">
        <v>208546726.68205774</v>
      </c>
      <c r="M208" s="359">
        <v>5.1720692423428603E-2</v>
      </c>
    </row>
    <row r="209" spans="2:17" ht="17.399999999999999" customHeight="1">
      <c r="B209" s="356" t="s">
        <v>93</v>
      </c>
      <c r="C209" s="357">
        <v>109</v>
      </c>
      <c r="D209" s="358">
        <v>146620626.04645452</v>
      </c>
      <c r="E209" s="358">
        <v>2744671</v>
      </c>
      <c r="F209" s="358">
        <v>53420.109749567258</v>
      </c>
      <c r="G209" s="358">
        <v>14336157.921905862</v>
      </c>
      <c r="H209" s="358">
        <v>20716980.920530163</v>
      </c>
      <c r="I209" s="358">
        <v>28857113.517499559</v>
      </c>
      <c r="J209" s="358">
        <v>24802986.581774268</v>
      </c>
      <c r="K209" s="358">
        <v>22178309.735427465</v>
      </c>
      <c r="L209" s="358">
        <v>186762077.96572542</v>
      </c>
      <c r="M209" s="359">
        <v>0.11875167580592902</v>
      </c>
    </row>
    <row r="210" spans="2:17" ht="17.399999999999999" customHeight="1">
      <c r="B210" s="356" t="s">
        <v>95</v>
      </c>
      <c r="C210" s="357">
        <v>69</v>
      </c>
      <c r="D210" s="358">
        <v>142991825.53883785</v>
      </c>
      <c r="E210" s="358">
        <v>5420411</v>
      </c>
      <c r="F210" s="358">
        <v>26380.255212905045</v>
      </c>
      <c r="G210" s="358">
        <v>14766684.58857253</v>
      </c>
      <c r="H210" s="358">
        <v>19973296.587196831</v>
      </c>
      <c r="I210" s="358">
        <v>28005855.720794797</v>
      </c>
      <c r="J210" s="358">
        <v>25672355.736262366</v>
      </c>
      <c r="K210" s="358">
        <v>22104548.15820663</v>
      </c>
      <c r="L210" s="358">
        <v>333172764.03670734</v>
      </c>
      <c r="M210" s="359">
        <v>9.1985961687720053E-2</v>
      </c>
    </row>
    <row r="211" spans="2:17" ht="17.399999999999999" customHeight="1">
      <c r="B211" s="356" t="s">
        <v>88</v>
      </c>
      <c r="C211" s="357">
        <v>219</v>
      </c>
      <c r="D211" s="358">
        <v>758991131.74753118</v>
      </c>
      <c r="E211" s="358">
        <v>7102438</v>
      </c>
      <c r="F211" s="358">
        <v>106863.46459448589</v>
      </c>
      <c r="G211" s="358">
        <v>15749964.442385862</v>
      </c>
      <c r="H211" s="358">
        <v>31835233.609520163</v>
      </c>
      <c r="I211" s="358">
        <v>32974732.888068128</v>
      </c>
      <c r="J211" s="358">
        <v>55917389.801545702</v>
      </c>
      <c r="K211" s="358">
        <v>34119330.185379967</v>
      </c>
      <c r="L211" s="358">
        <v>130475588.11306998</v>
      </c>
      <c r="M211" s="359">
        <v>7.4879857994472845E-2</v>
      </c>
    </row>
    <row r="212" spans="2:17" ht="17.399999999999999" customHeight="1">
      <c r="B212" s="356" t="s">
        <v>99</v>
      </c>
      <c r="C212" s="357">
        <v>81</v>
      </c>
      <c r="D212" s="358">
        <v>202612539.66717118</v>
      </c>
      <c r="E212" s="358">
        <v>6800180</v>
      </c>
      <c r="F212" s="358">
        <v>29795.173020004058</v>
      </c>
      <c r="G212" s="358">
        <v>14765408.721905863</v>
      </c>
      <c r="H212" s="358">
        <v>24111574.920530163</v>
      </c>
      <c r="I212" s="358">
        <v>29831677.853128128</v>
      </c>
      <c r="J212" s="358">
        <v>23951828.582167126</v>
      </c>
      <c r="K212" s="358">
        <v>23165122.51943282</v>
      </c>
      <c r="L212" s="358">
        <v>461427166.99339223</v>
      </c>
      <c r="M212" s="359">
        <v>3.160414682195218E-2</v>
      </c>
    </row>
    <row r="213" spans="2:17" ht="17.399999999999999" customHeight="1">
      <c r="B213" s="356" t="s">
        <v>87</v>
      </c>
      <c r="C213" s="357">
        <v>147</v>
      </c>
      <c r="D213" s="358">
        <v>169436343.41167119</v>
      </c>
      <c r="E213" s="358">
        <v>4101322</v>
      </c>
      <c r="F213" s="358">
        <v>41312.616617683569</v>
      </c>
      <c r="G213" s="358">
        <v>17343379.781905863</v>
      </c>
      <c r="H213" s="358">
        <v>20096064.353030164</v>
      </c>
      <c r="I213" s="358">
        <v>25684043.30112813</v>
      </c>
      <c r="J213" s="358">
        <v>22710639.069595698</v>
      </c>
      <c r="K213" s="358">
        <v>21458531.626414962</v>
      </c>
      <c r="L213" s="358">
        <v>240303495.80133319</v>
      </c>
      <c r="M213" s="359">
        <v>8.5716006633378555E-2</v>
      </c>
    </row>
    <row r="214" spans="2:17" ht="17.399999999999999" customHeight="1">
      <c r="B214" s="356" t="s">
        <v>89</v>
      </c>
      <c r="C214" s="357">
        <v>71</v>
      </c>
      <c r="D214" s="358">
        <v>133303989.74627376</v>
      </c>
      <c r="E214" s="358">
        <v>3407353</v>
      </c>
      <c r="F214" s="358">
        <v>39122.447761142968</v>
      </c>
      <c r="G214" s="358">
        <v>14190157.22959817</v>
      </c>
      <c r="H214" s="358">
        <v>18147811.228222471</v>
      </c>
      <c r="I214" s="358">
        <v>24605973.361820437</v>
      </c>
      <c r="J214" s="358">
        <v>20128197.687288005</v>
      </c>
      <c r="K214" s="358">
        <v>19268034.876732271</v>
      </c>
      <c r="L214" s="358">
        <v>250344509.37730485</v>
      </c>
      <c r="M214" s="359">
        <v>8.353748490582262E-2</v>
      </c>
    </row>
    <row r="215" spans="2:17" ht="17.399999999999999" customHeight="1">
      <c r="B215" s="356" t="s">
        <v>91</v>
      </c>
      <c r="C215" s="357">
        <v>89</v>
      </c>
      <c r="D215" s="358">
        <v>169417296.92128119</v>
      </c>
      <c r="E215" s="358">
        <v>4297323</v>
      </c>
      <c r="F215" s="358">
        <v>39423.915056252736</v>
      </c>
      <c r="G215" s="358">
        <v>14271624.921905862</v>
      </c>
      <c r="H215" s="358">
        <v>19966633.480530165</v>
      </c>
      <c r="I215" s="358">
        <v>28310724.954128131</v>
      </c>
      <c r="J215" s="358">
        <v>25669477.858705699</v>
      </c>
      <c r="K215" s="358">
        <v>22054615.303817462</v>
      </c>
      <c r="L215" s="358">
        <v>227924970.74720651</v>
      </c>
      <c r="M215" s="359">
        <v>5.0247779692604029E-2</v>
      </c>
    </row>
    <row r="216" spans="2:17" ht="17.399999999999999" customHeight="1">
      <c r="B216" s="356" t="s">
        <v>100</v>
      </c>
      <c r="C216" s="357">
        <v>65</v>
      </c>
      <c r="D216" s="358">
        <v>171814280.32267451</v>
      </c>
      <c r="E216" s="358">
        <v>4468563</v>
      </c>
      <c r="F216" s="358">
        <v>38449.559807632679</v>
      </c>
      <c r="G216" s="358">
        <v>13580206.421905862</v>
      </c>
      <c r="H216" s="358">
        <v>18031182.420530163</v>
      </c>
      <c r="I216" s="358">
        <v>47280384.554128133</v>
      </c>
      <c r="J216" s="358">
        <v>20555276.569595698</v>
      </c>
      <c r="K216" s="358">
        <v>24861762.491539966</v>
      </c>
      <c r="L216" s="358">
        <v>4290630470.8923554</v>
      </c>
      <c r="M216" s="359">
        <v>5.3880144625069279E-2</v>
      </c>
    </row>
    <row r="217" spans="2:17" ht="17.399999999999999" customHeight="1">
      <c r="B217" s="356" t="s">
        <v>101</v>
      </c>
      <c r="C217" s="357">
        <v>51</v>
      </c>
      <c r="D217" s="358">
        <v>168823210.70550454</v>
      </c>
      <c r="E217" s="358">
        <v>4109571</v>
      </c>
      <c r="F217" s="358">
        <v>41080.494948378924</v>
      </c>
      <c r="G217" s="358">
        <v>14256482.421905862</v>
      </c>
      <c r="H217" s="358">
        <v>17741422.420530163</v>
      </c>
      <c r="I217" s="358">
        <v>44554038.554128133</v>
      </c>
      <c r="J217" s="358">
        <v>20320356.569595698</v>
      </c>
      <c r="K217" s="358">
        <v>24218074.991539966</v>
      </c>
      <c r="L217" s="358">
        <v>438917210.64570105</v>
      </c>
      <c r="M217" s="359">
        <v>7.2689239955015458E-2</v>
      </c>
    </row>
    <row r="218" spans="2:17" ht="17.399999999999999" customHeight="1">
      <c r="B218" s="356" t="s">
        <v>90</v>
      </c>
      <c r="C218" s="357">
        <v>68</v>
      </c>
      <c r="D218" s="358">
        <v>138518465.93745452</v>
      </c>
      <c r="E218" s="358">
        <v>2429224</v>
      </c>
      <c r="F218" s="358">
        <v>57021.693321593448</v>
      </c>
      <c r="G218" s="358">
        <v>14550287.421905862</v>
      </c>
      <c r="H218" s="358">
        <v>18410946.420530163</v>
      </c>
      <c r="I218" s="358">
        <v>25000552.554128129</v>
      </c>
      <c r="J218" s="358">
        <v>22200002.301545698</v>
      </c>
      <c r="K218" s="358">
        <v>20040447.174527463</v>
      </c>
      <c r="L218" s="358">
        <v>359706534.53073072</v>
      </c>
      <c r="M218" s="359">
        <v>0.15359537722229261</v>
      </c>
    </row>
    <row r="219" spans="2:17" ht="17.399999999999999" customHeight="1">
      <c r="B219" s="356" t="s">
        <v>137</v>
      </c>
      <c r="C219" s="357">
        <v>23</v>
      </c>
      <c r="D219" s="358">
        <v>145827783.94822377</v>
      </c>
      <c r="E219" s="358">
        <v>1616867</v>
      </c>
      <c r="F219" s="358">
        <v>90191.576640641302</v>
      </c>
      <c r="G219" s="358">
        <v>13737639.709598171</v>
      </c>
      <c r="H219" s="358">
        <v>17840805.228222471</v>
      </c>
      <c r="I219" s="358">
        <v>24367560.293249007</v>
      </c>
      <c r="J219" s="358">
        <v>25736871.697809435</v>
      </c>
      <c r="K219" s="358">
        <v>20420719.232219771</v>
      </c>
      <c r="L219" s="358">
        <v>732977309.90612817</v>
      </c>
      <c r="M219" s="359">
        <v>8.9594041255218859E-2</v>
      </c>
    </row>
    <row r="220" spans="2:17" ht="17.399999999999999" customHeight="1">
      <c r="B220" s="356" t="s">
        <v>94</v>
      </c>
      <c r="C220" s="357">
        <v>15</v>
      </c>
      <c r="D220" s="358">
        <v>122038743.16822375</v>
      </c>
      <c r="E220" s="358">
        <v>3256140</v>
      </c>
      <c r="F220" s="358">
        <v>37479.574947091874</v>
      </c>
      <c r="G220" s="358">
        <v>13242749.72959817</v>
      </c>
      <c r="H220" s="358">
        <v>17024263.728222471</v>
      </c>
      <c r="I220" s="358">
        <v>22782312.861820437</v>
      </c>
      <c r="J220" s="358">
        <v>19843138.609238006</v>
      </c>
      <c r="K220" s="358">
        <v>18223116.232219771</v>
      </c>
      <c r="L220" s="358">
        <v>230651364.45578188</v>
      </c>
      <c r="M220" s="359">
        <v>0.18026377747024508</v>
      </c>
    </row>
    <row r="221" spans="2:17" ht="17.399999999999999" customHeight="1" thickBot="1">
      <c r="B221" s="360" t="s">
        <v>70</v>
      </c>
      <c r="C221" s="361">
        <v>242</v>
      </c>
      <c r="D221" s="362">
        <v>1425182299.2116373</v>
      </c>
      <c r="E221" s="362">
        <v>11855975</v>
      </c>
      <c r="F221" s="362">
        <v>120207.93728155106</v>
      </c>
      <c r="G221" s="362">
        <v>51457320.532931507</v>
      </c>
      <c r="H221" s="362">
        <v>71699005.872395799</v>
      </c>
      <c r="I221" s="362">
        <v>99949833.425153762</v>
      </c>
      <c r="J221" s="362">
        <v>86932100.939261332</v>
      </c>
      <c r="K221" s="362">
        <v>77509565.192435607</v>
      </c>
      <c r="L221" s="362">
        <v>101091392.2250838</v>
      </c>
      <c r="M221" s="363">
        <v>1.8064842851944634E-2</v>
      </c>
    </row>
    <row r="222" spans="2:17" ht="15" thickBot="1">
      <c r="B222" s="221"/>
      <c r="C222" s="260"/>
      <c r="D222" s="260"/>
      <c r="E222" s="260"/>
      <c r="F222" s="260"/>
      <c r="G222" s="260"/>
      <c r="H222" s="260"/>
      <c r="I222" s="260"/>
      <c r="J222" s="260"/>
      <c r="K222" s="260"/>
      <c r="L222" s="260"/>
      <c r="M222" s="221"/>
    </row>
    <row r="223" spans="2:17" ht="15" thickBot="1">
      <c r="B223" s="261" t="s">
        <v>202</v>
      </c>
      <c r="C223" s="262" t="s">
        <v>612</v>
      </c>
      <c r="D223" s="265">
        <v>6036492480.186698</v>
      </c>
      <c r="E223" s="265">
        <v>92335113</v>
      </c>
      <c r="F223" s="265">
        <v>65375.914796212979</v>
      </c>
      <c r="G223" s="265">
        <v>350915557.53143895</v>
      </c>
      <c r="H223" s="265">
        <v>557060199.97844517</v>
      </c>
      <c r="I223" s="265">
        <v>777272535.10568762</v>
      </c>
      <c r="J223" s="265">
        <v>778815529.2337178</v>
      </c>
      <c r="K223" s="265">
        <v>616015955.46232235</v>
      </c>
      <c r="L223" s="265">
        <v>11548191402.098953</v>
      </c>
      <c r="M223" s="290">
        <v>5.3343067672948143E-2</v>
      </c>
    </row>
    <row r="224" spans="2:17" ht="18">
      <c r="M224" s="368" t="s">
        <v>616</v>
      </c>
      <c r="Q224" s="291">
        <f>SUM(R195,P195,N195,L195)</f>
        <v>2464063821.8492889</v>
      </c>
    </row>
    <row r="225" spans="1:17" ht="61.2">
      <c r="A225" s="391" t="s">
        <v>627</v>
      </c>
      <c r="Q225" s="291">
        <f>SUM(S195,Q195,O195,M195)</f>
        <v>2464063821.8492894</v>
      </c>
    </row>
    <row r="226" spans="1:17">
      <c r="D226" s="372" t="s">
        <v>623</v>
      </c>
      <c r="G226" s="372" t="s">
        <v>624</v>
      </c>
      <c r="Q226" s="291">
        <f>Q224-Q225</f>
        <v>0</v>
      </c>
    </row>
    <row r="227" spans="1:17">
      <c r="D227" s="381" t="s">
        <v>266</v>
      </c>
      <c r="E227" s="381" t="s">
        <v>617</v>
      </c>
      <c r="G227" s="381" t="s">
        <v>266</v>
      </c>
      <c r="H227" s="381" t="s">
        <v>617</v>
      </c>
    </row>
    <row r="228" spans="1:17">
      <c r="D228" s="369" t="s">
        <v>98</v>
      </c>
      <c r="E228" s="371">
        <v>14368738.435897436</v>
      </c>
      <c r="G228" s="382" t="s">
        <v>98</v>
      </c>
      <c r="H228" s="383">
        <v>10983454.935897436</v>
      </c>
    </row>
    <row r="229" spans="1:17">
      <c r="D229" s="369" t="s">
        <v>92</v>
      </c>
      <c r="E229" s="371">
        <v>8623956.2692307681</v>
      </c>
      <c r="G229" s="382" t="s">
        <v>92</v>
      </c>
      <c r="H229" s="383">
        <v>1546415.7692307692</v>
      </c>
    </row>
    <row r="230" spans="1:17">
      <c r="D230" s="369" t="s">
        <v>97</v>
      </c>
      <c r="E230" s="371">
        <v>239202961.93589744</v>
      </c>
      <c r="G230" s="382" t="s">
        <v>97</v>
      </c>
      <c r="H230" s="383">
        <v>86138804.602564096</v>
      </c>
    </row>
    <row r="231" spans="1:17">
      <c r="D231" s="369" t="s">
        <v>112</v>
      </c>
      <c r="E231" s="371">
        <v>225674911.1025641</v>
      </c>
      <c r="G231" s="382" t="s">
        <v>112</v>
      </c>
      <c r="H231" s="383">
        <v>101178767.76923077</v>
      </c>
    </row>
    <row r="232" spans="1:17">
      <c r="D232" s="369" t="s">
        <v>93</v>
      </c>
      <c r="E232" s="371">
        <v>1561664.7692307692</v>
      </c>
      <c r="G232" s="382" t="s">
        <v>93</v>
      </c>
      <c r="H232" s="383">
        <v>1561664.7692307692</v>
      </c>
    </row>
    <row r="233" spans="1:17">
      <c r="D233" s="369" t="s">
        <v>95</v>
      </c>
      <c r="E233" s="371">
        <v>5713798.102564102</v>
      </c>
      <c r="G233" s="382" t="s">
        <v>95</v>
      </c>
      <c r="H233" s="383">
        <v>4497131.435897436</v>
      </c>
    </row>
    <row r="234" spans="1:17">
      <c r="D234" s="369" t="s">
        <v>88</v>
      </c>
      <c r="E234" s="371">
        <v>2778331.435897436</v>
      </c>
      <c r="G234" s="382" t="s">
        <v>88</v>
      </c>
      <c r="H234" s="383">
        <v>1561664.7692307692</v>
      </c>
    </row>
    <row r="235" spans="1:17">
      <c r="D235" s="369" t="s">
        <v>99</v>
      </c>
      <c r="E235" s="371">
        <v>2778331.435897436</v>
      </c>
      <c r="G235" s="382" t="s">
        <v>99</v>
      </c>
      <c r="H235" s="383">
        <v>1561664.7692307692</v>
      </c>
    </row>
    <row r="236" spans="1:17">
      <c r="D236" s="369" t="s">
        <v>87</v>
      </c>
      <c r="E236" s="371">
        <v>2778331.435897436</v>
      </c>
      <c r="G236" s="382" t="s">
        <v>87</v>
      </c>
      <c r="H236" s="383">
        <v>1561664.7692307692</v>
      </c>
    </row>
    <row r="237" spans="1:17">
      <c r="D237" s="369" t="s">
        <v>89</v>
      </c>
      <c r="E237" s="371">
        <v>550874</v>
      </c>
      <c r="G237" s="382" t="s">
        <v>89</v>
      </c>
      <c r="H237" s="383">
        <v>550874</v>
      </c>
    </row>
    <row r="238" spans="1:17">
      <c r="D238" s="369" t="s">
        <v>91</v>
      </c>
      <c r="E238" s="371">
        <v>2778331.435897436</v>
      </c>
      <c r="G238" s="382" t="s">
        <v>91</v>
      </c>
      <c r="H238" s="383">
        <v>1561664.7692307692</v>
      </c>
    </row>
    <row r="239" spans="1:17">
      <c r="D239" s="369" t="s">
        <v>100</v>
      </c>
      <c r="E239" s="371">
        <v>4404103.269230769</v>
      </c>
      <c r="G239" s="382" t="s">
        <v>100</v>
      </c>
      <c r="H239" s="383">
        <v>1703786.7692307692</v>
      </c>
    </row>
    <row r="240" spans="1:17">
      <c r="D240" s="369" t="s">
        <v>101</v>
      </c>
      <c r="E240" s="371">
        <v>11590573.269230768</v>
      </c>
      <c r="G240" s="382" t="s">
        <v>101</v>
      </c>
      <c r="H240" s="383">
        <v>1703786.7692307692</v>
      </c>
    </row>
    <row r="241" spans="2:13">
      <c r="D241" s="369" t="s">
        <v>90</v>
      </c>
      <c r="E241" s="371">
        <v>1010790.7692307692</v>
      </c>
      <c r="G241" s="382" t="s">
        <v>90</v>
      </c>
      <c r="H241" s="383">
        <v>1010790.7692307692</v>
      </c>
    </row>
    <row r="242" spans="2:13">
      <c r="D242" s="369" t="s">
        <v>137</v>
      </c>
      <c r="E242" s="371">
        <v>550874</v>
      </c>
      <c r="G242" s="382" t="s">
        <v>137</v>
      </c>
      <c r="H242" s="383">
        <v>550874</v>
      </c>
    </row>
    <row r="243" spans="2:13">
      <c r="D243" s="369" t="s">
        <v>94</v>
      </c>
      <c r="E243" s="371">
        <v>7186470</v>
      </c>
      <c r="G243" s="382" t="s">
        <v>94</v>
      </c>
      <c r="H243" s="383">
        <v>0</v>
      </c>
    </row>
    <row r="244" spans="2:13">
      <c r="D244" s="369" t="s">
        <v>70</v>
      </c>
      <c r="E244" s="371">
        <v>133789510.33333334</v>
      </c>
      <c r="G244" s="382" t="s">
        <v>70</v>
      </c>
      <c r="H244" s="383">
        <v>41884700.333333336</v>
      </c>
    </row>
    <row r="245" spans="2:13"/>
    <row r="246" spans="2:13">
      <c r="D246" s="392" t="s">
        <v>202</v>
      </c>
      <c r="E246" s="291">
        <f>SUM(E228:E244)</f>
        <v>665342552</v>
      </c>
      <c r="G246" s="392" t="s">
        <v>202</v>
      </c>
      <c r="H246" s="291">
        <f>SUM(H228:H244)</f>
        <v>259557711.00000012</v>
      </c>
    </row>
    <row r="247" spans="2:13"/>
    <row r="248" spans="2:13">
      <c r="G248" t="s">
        <v>626</v>
      </c>
      <c r="H248" s="370">
        <v>114686467.81700039</v>
      </c>
    </row>
    <row r="249" spans="2:13"/>
    <row r="250" spans="2:13"/>
    <row r="251" spans="2:13" ht="15" thickBot="1"/>
    <row r="252" spans="2:13" ht="47.4" customHeight="1">
      <c r="B252" s="271" t="s">
        <v>572</v>
      </c>
      <c r="C252" s="272" t="s">
        <v>240</v>
      </c>
      <c r="D252" s="270" t="s">
        <v>582</v>
      </c>
      <c r="E252" s="270" t="s">
        <v>583</v>
      </c>
      <c r="F252" s="270" t="s">
        <v>584</v>
      </c>
      <c r="G252" s="270">
        <v>2013</v>
      </c>
      <c r="H252" s="270">
        <v>2014</v>
      </c>
      <c r="I252" s="270">
        <v>2015</v>
      </c>
      <c r="J252" s="270">
        <v>2016</v>
      </c>
      <c r="K252" s="270" t="s">
        <v>611</v>
      </c>
      <c r="L252" s="270" t="s">
        <v>585</v>
      </c>
      <c r="M252" s="72" t="s">
        <v>586</v>
      </c>
    </row>
    <row r="253" spans="2:13" ht="17.399999999999999" customHeight="1">
      <c r="B253" s="352" t="s">
        <v>94</v>
      </c>
      <c r="C253" s="353">
        <v>15</v>
      </c>
      <c r="D253" s="354">
        <v>122038743.16822375</v>
      </c>
      <c r="E253" s="354">
        <v>3256140</v>
      </c>
      <c r="F253" s="354">
        <v>37479.574947091874</v>
      </c>
      <c r="G253" s="354">
        <v>13242749.72959817</v>
      </c>
      <c r="H253" s="354">
        <v>17024263.728222471</v>
      </c>
      <c r="I253" s="354">
        <v>22782312.861820437</v>
      </c>
      <c r="J253" s="354">
        <v>19843138.609238006</v>
      </c>
      <c r="K253" s="354">
        <v>18223116.232219771</v>
      </c>
      <c r="L253" s="354">
        <v>230651364.45578188</v>
      </c>
      <c r="M253" s="355">
        <v>0.18026377747024508</v>
      </c>
    </row>
    <row r="254" spans="2:13" ht="17.399999999999999" customHeight="1">
      <c r="B254" s="356" t="s">
        <v>90</v>
      </c>
      <c r="C254" s="357">
        <v>68</v>
      </c>
      <c r="D254" s="358">
        <v>138518465.93745452</v>
      </c>
      <c r="E254" s="358">
        <v>2429224</v>
      </c>
      <c r="F254" s="358">
        <v>57021.693321593448</v>
      </c>
      <c r="G254" s="358">
        <v>14550287.421905862</v>
      </c>
      <c r="H254" s="358">
        <v>18410946.420530163</v>
      </c>
      <c r="I254" s="358">
        <v>25000552.554128129</v>
      </c>
      <c r="J254" s="358">
        <v>22200002.301545698</v>
      </c>
      <c r="K254" s="358">
        <v>20040447.174527463</v>
      </c>
      <c r="L254" s="358">
        <v>359706534.53073072</v>
      </c>
      <c r="M254" s="359">
        <v>0.15359537722229261</v>
      </c>
    </row>
    <row r="255" spans="2:13" ht="17.399999999999999" customHeight="1">
      <c r="B255" s="356" t="s">
        <v>93</v>
      </c>
      <c r="C255" s="357">
        <v>109</v>
      </c>
      <c r="D255" s="358">
        <v>146620626.04645452</v>
      </c>
      <c r="E255" s="358">
        <v>2744671</v>
      </c>
      <c r="F255" s="358">
        <v>53420.109749567258</v>
      </c>
      <c r="G255" s="358">
        <v>14336157.921905862</v>
      </c>
      <c r="H255" s="358">
        <v>20716980.920530163</v>
      </c>
      <c r="I255" s="358">
        <v>28857113.517499559</v>
      </c>
      <c r="J255" s="358">
        <v>24802986.581774268</v>
      </c>
      <c r="K255" s="358">
        <v>22178309.735427465</v>
      </c>
      <c r="L255" s="358">
        <v>186762077.96572542</v>
      </c>
      <c r="M255" s="359">
        <v>0.11875167580592902</v>
      </c>
    </row>
    <row r="256" spans="2:13" ht="17.399999999999999" customHeight="1">
      <c r="B256" s="356" t="s">
        <v>97</v>
      </c>
      <c r="C256" s="357">
        <v>150</v>
      </c>
      <c r="D256" s="358">
        <v>1133127010.6179214</v>
      </c>
      <c r="E256" s="358">
        <v>10137737</v>
      </c>
      <c r="F256" s="358">
        <v>111773.17093725369</v>
      </c>
      <c r="G256" s="358">
        <v>39476831.880239196</v>
      </c>
      <c r="H256" s="358">
        <v>97176285.191863477</v>
      </c>
      <c r="I256" s="358">
        <v>127108363.01246145</v>
      </c>
      <c r="J256" s="358">
        <v>208972205.96067902</v>
      </c>
      <c r="K256" s="358">
        <v>118183421.51131079</v>
      </c>
      <c r="L256" s="358">
        <v>1881381140.5255404</v>
      </c>
      <c r="M256" s="359">
        <v>0.11606815288559018</v>
      </c>
    </row>
    <row r="257" spans="2:13" ht="17.399999999999999" customHeight="1">
      <c r="B257" s="356" t="s">
        <v>92</v>
      </c>
      <c r="C257" s="357">
        <v>91</v>
      </c>
      <c r="D257" s="358">
        <v>172348838.81680453</v>
      </c>
      <c r="E257" s="358">
        <v>3229163</v>
      </c>
      <c r="F257" s="358">
        <v>53372.604237322339</v>
      </c>
      <c r="G257" s="358">
        <v>15723922.531905862</v>
      </c>
      <c r="H257" s="358">
        <v>21388292.470530163</v>
      </c>
      <c r="I257" s="358">
        <v>26407071.804128129</v>
      </c>
      <c r="J257" s="358">
        <v>27778049.270895697</v>
      </c>
      <c r="K257" s="358">
        <v>22824334.019364964</v>
      </c>
      <c r="L257" s="358">
        <v>455654312.1101864</v>
      </c>
      <c r="M257" s="359">
        <v>0.10944470039159167</v>
      </c>
    </row>
    <row r="258" spans="2:13" ht="17.399999999999999" customHeight="1">
      <c r="B258" s="356" t="s">
        <v>95</v>
      </c>
      <c r="C258" s="357">
        <v>69</v>
      </c>
      <c r="D258" s="358">
        <v>142991825.53883785</v>
      </c>
      <c r="E258" s="358">
        <v>5420411</v>
      </c>
      <c r="F258" s="358">
        <v>26380.255212905045</v>
      </c>
      <c r="G258" s="358">
        <v>14766684.58857253</v>
      </c>
      <c r="H258" s="358">
        <v>19973296.587196831</v>
      </c>
      <c r="I258" s="358">
        <v>28005855.720794797</v>
      </c>
      <c r="J258" s="358">
        <v>25672355.736262366</v>
      </c>
      <c r="K258" s="358">
        <v>22104548.15820663</v>
      </c>
      <c r="L258" s="358">
        <v>333172764.03670734</v>
      </c>
      <c r="M258" s="359">
        <v>9.1985961687720053E-2</v>
      </c>
    </row>
    <row r="259" spans="2:13" ht="17.399999999999999" customHeight="1">
      <c r="B259" s="356" t="s">
        <v>137</v>
      </c>
      <c r="C259" s="357">
        <v>23</v>
      </c>
      <c r="D259" s="358">
        <v>145827783.94822377</v>
      </c>
      <c r="E259" s="358">
        <v>1616867</v>
      </c>
      <c r="F259" s="358">
        <v>90191.576640641302</v>
      </c>
      <c r="G259" s="358">
        <v>13737639.709598171</v>
      </c>
      <c r="H259" s="358">
        <v>17840805.228222471</v>
      </c>
      <c r="I259" s="358">
        <v>24367560.293249007</v>
      </c>
      <c r="J259" s="358">
        <v>25736871.697809435</v>
      </c>
      <c r="K259" s="358">
        <v>20420719.232219771</v>
      </c>
      <c r="L259" s="358">
        <v>732977309.90612817</v>
      </c>
      <c r="M259" s="359">
        <v>8.9594041255218859E-2</v>
      </c>
    </row>
    <row r="260" spans="2:13" ht="17.399999999999999" customHeight="1">
      <c r="B260" s="356" t="s">
        <v>87</v>
      </c>
      <c r="C260" s="357">
        <v>147</v>
      </c>
      <c r="D260" s="358">
        <v>169436343.41167119</v>
      </c>
      <c r="E260" s="358">
        <v>4101322</v>
      </c>
      <c r="F260" s="358">
        <v>41312.616617683569</v>
      </c>
      <c r="G260" s="358">
        <v>17343379.781905863</v>
      </c>
      <c r="H260" s="358">
        <v>20096064.353030164</v>
      </c>
      <c r="I260" s="358">
        <v>25684043.30112813</v>
      </c>
      <c r="J260" s="358">
        <v>22710639.069595698</v>
      </c>
      <c r="K260" s="358">
        <v>21458531.626414962</v>
      </c>
      <c r="L260" s="358">
        <v>240303495.80133319</v>
      </c>
      <c r="M260" s="359">
        <v>8.5716006633378555E-2</v>
      </c>
    </row>
    <row r="261" spans="2:13" ht="17.399999999999999" customHeight="1">
      <c r="B261" s="356" t="s">
        <v>89</v>
      </c>
      <c r="C261" s="357">
        <v>71</v>
      </c>
      <c r="D261" s="358">
        <v>133303989.74627376</v>
      </c>
      <c r="E261" s="358">
        <v>3407353</v>
      </c>
      <c r="F261" s="358">
        <v>39122.447761142968</v>
      </c>
      <c r="G261" s="358">
        <v>14190157.22959817</v>
      </c>
      <c r="H261" s="358">
        <v>18147811.228222471</v>
      </c>
      <c r="I261" s="358">
        <v>24605973.361820437</v>
      </c>
      <c r="J261" s="358">
        <v>20128197.687288005</v>
      </c>
      <c r="K261" s="358">
        <v>19268034.876732271</v>
      </c>
      <c r="L261" s="358">
        <v>250344509.37730485</v>
      </c>
      <c r="M261" s="359">
        <v>8.353748490582262E-2</v>
      </c>
    </row>
    <row r="262" spans="2:13" ht="17.399999999999999" customHeight="1">
      <c r="B262" s="356" t="s">
        <v>88</v>
      </c>
      <c r="C262" s="357">
        <v>219</v>
      </c>
      <c r="D262" s="358">
        <v>758991131.74753118</v>
      </c>
      <c r="E262" s="358">
        <v>7102438</v>
      </c>
      <c r="F262" s="358">
        <v>106863.46459448589</v>
      </c>
      <c r="G262" s="358">
        <v>15749964.442385862</v>
      </c>
      <c r="H262" s="358">
        <v>31835233.609520163</v>
      </c>
      <c r="I262" s="358">
        <v>32974732.888068128</v>
      </c>
      <c r="J262" s="358">
        <v>55917389.801545702</v>
      </c>
      <c r="K262" s="358">
        <v>34119330.185379967</v>
      </c>
      <c r="L262" s="358">
        <v>130475588.11306998</v>
      </c>
      <c r="M262" s="359">
        <v>7.4879857994472845E-2</v>
      </c>
    </row>
    <row r="263" spans="2:13" ht="17.399999999999999" customHeight="1">
      <c r="B263" s="356" t="s">
        <v>101</v>
      </c>
      <c r="C263" s="357">
        <v>51</v>
      </c>
      <c r="D263" s="358">
        <v>168823210.70550454</v>
      </c>
      <c r="E263" s="358">
        <v>4109571</v>
      </c>
      <c r="F263" s="358">
        <v>41080.494948378924</v>
      </c>
      <c r="G263" s="358">
        <v>14256482.421905862</v>
      </c>
      <c r="H263" s="358">
        <v>17741422.420530163</v>
      </c>
      <c r="I263" s="358">
        <v>44554038.554128133</v>
      </c>
      <c r="J263" s="358">
        <v>20320356.569595698</v>
      </c>
      <c r="K263" s="358">
        <v>24218074.991539966</v>
      </c>
      <c r="L263" s="358">
        <v>438917210.64570105</v>
      </c>
      <c r="M263" s="359">
        <v>7.2689239955015458E-2</v>
      </c>
    </row>
    <row r="264" spans="2:13" ht="17.399999999999999" customHeight="1">
      <c r="B264" s="356" t="s">
        <v>98</v>
      </c>
      <c r="C264" s="357">
        <v>109</v>
      </c>
      <c r="D264" s="358">
        <v>174484531.89191121</v>
      </c>
      <c r="E264" s="358">
        <v>4748372</v>
      </c>
      <c r="F264" s="358">
        <v>36746.179931124017</v>
      </c>
      <c r="G264" s="358">
        <v>17668578.751362529</v>
      </c>
      <c r="H264" s="358">
        <v>21551864.462196831</v>
      </c>
      <c r="I264" s="358">
        <v>27446441.595794797</v>
      </c>
      <c r="J264" s="358">
        <v>25865114.343212366</v>
      </c>
      <c r="K264" s="358">
        <v>23132999.788141631</v>
      </c>
      <c r="L264" s="358">
        <v>1018224367.0906494</v>
      </c>
      <c r="M264" s="359">
        <v>6.4310757707865082E-2</v>
      </c>
    </row>
    <row r="265" spans="2:13" ht="17.399999999999999" customHeight="1">
      <c r="B265" s="356" t="s">
        <v>100</v>
      </c>
      <c r="C265" s="357">
        <v>65</v>
      </c>
      <c r="D265" s="358">
        <v>171814280.32267451</v>
      </c>
      <c r="E265" s="358">
        <v>4468563</v>
      </c>
      <c r="F265" s="358">
        <v>38449.559807632679</v>
      </c>
      <c r="G265" s="358">
        <v>13580206.421905862</v>
      </c>
      <c r="H265" s="358">
        <v>18031182.420530163</v>
      </c>
      <c r="I265" s="358">
        <v>47280384.554128133</v>
      </c>
      <c r="J265" s="358">
        <v>20555276.569595698</v>
      </c>
      <c r="K265" s="358">
        <v>24861762.491539966</v>
      </c>
      <c r="L265" s="358">
        <v>4290630470.8923554</v>
      </c>
      <c r="M265" s="359">
        <v>5.3880144625069279E-2</v>
      </c>
    </row>
    <row r="266" spans="2:13" ht="17.399999999999999" customHeight="1">
      <c r="B266" s="356" t="s">
        <v>112</v>
      </c>
      <c r="C266" s="357">
        <v>147</v>
      </c>
      <c r="D266" s="358">
        <v>641096109.99412119</v>
      </c>
      <c r="E266" s="358">
        <v>12609803</v>
      </c>
      <c r="F266" s="358">
        <v>50841.088476490964</v>
      </c>
      <c r="G266" s="358">
        <v>44978911.521905862</v>
      </c>
      <c r="H266" s="358">
        <v>96166675.66386348</v>
      </c>
      <c r="I266" s="358">
        <v>130271256.85412812</v>
      </c>
      <c r="J266" s="358">
        <v>117808497.16154569</v>
      </c>
      <c r="K266" s="358">
        <v>97306335.300360784</v>
      </c>
      <c r="L266" s="358">
        <v>208546726.68205774</v>
      </c>
      <c r="M266" s="359">
        <v>5.1720692423428603E-2</v>
      </c>
    </row>
    <row r="267" spans="2:13" ht="17.399999999999999" customHeight="1">
      <c r="B267" s="356" t="s">
        <v>91</v>
      </c>
      <c r="C267" s="357">
        <v>89</v>
      </c>
      <c r="D267" s="358">
        <v>169417296.92128119</v>
      </c>
      <c r="E267" s="358">
        <v>4297323</v>
      </c>
      <c r="F267" s="358">
        <v>39423.915056252736</v>
      </c>
      <c r="G267" s="358">
        <v>14271624.921905862</v>
      </c>
      <c r="H267" s="358">
        <v>19966633.480530165</v>
      </c>
      <c r="I267" s="358">
        <v>28310724.954128131</v>
      </c>
      <c r="J267" s="358">
        <v>25669477.858705699</v>
      </c>
      <c r="K267" s="358">
        <v>22054615.303817462</v>
      </c>
      <c r="L267" s="358">
        <v>227924970.74720651</v>
      </c>
      <c r="M267" s="359">
        <v>5.0247779692604029E-2</v>
      </c>
    </row>
    <row r="268" spans="2:13" ht="17.399999999999999" customHeight="1">
      <c r="B268" s="356" t="s">
        <v>99</v>
      </c>
      <c r="C268" s="357">
        <v>81</v>
      </c>
      <c r="D268" s="358">
        <v>202612539.66717118</v>
      </c>
      <c r="E268" s="358">
        <v>6800180</v>
      </c>
      <c r="F268" s="358">
        <v>29795.173020004058</v>
      </c>
      <c r="G268" s="358">
        <v>14765408.721905863</v>
      </c>
      <c r="H268" s="358">
        <v>24111574.920530163</v>
      </c>
      <c r="I268" s="358">
        <v>29831677.853128128</v>
      </c>
      <c r="J268" s="358">
        <v>23951828.582167126</v>
      </c>
      <c r="K268" s="358">
        <v>23165122.51943282</v>
      </c>
      <c r="L268" s="358">
        <v>461427166.99339223</v>
      </c>
      <c r="M268" s="359">
        <v>3.160414682195218E-2</v>
      </c>
    </row>
    <row r="269" spans="2:13" ht="17.399999999999999" customHeight="1" thickBot="1">
      <c r="B269" s="360" t="s">
        <v>70</v>
      </c>
      <c r="C269" s="361">
        <v>242</v>
      </c>
      <c r="D269" s="362">
        <v>1425182299.2116373</v>
      </c>
      <c r="E269" s="362">
        <v>11855975</v>
      </c>
      <c r="F269" s="362">
        <v>120207.93728155106</v>
      </c>
      <c r="G269" s="362">
        <v>51457320.532931507</v>
      </c>
      <c r="H269" s="362">
        <v>71699005.872395799</v>
      </c>
      <c r="I269" s="362">
        <v>99949833.425153762</v>
      </c>
      <c r="J269" s="362">
        <v>86932100.939261332</v>
      </c>
      <c r="K269" s="362">
        <v>77509565.192435607</v>
      </c>
      <c r="L269" s="362">
        <v>101091392.2250838</v>
      </c>
      <c r="M269" s="363">
        <v>1.8064842851944634E-2</v>
      </c>
    </row>
    <row r="270" spans="2:13" ht="15" thickBot="1">
      <c r="B270" s="221"/>
      <c r="C270" s="260"/>
      <c r="D270" s="260"/>
      <c r="E270" s="260"/>
      <c r="F270" s="260"/>
      <c r="G270" s="260"/>
      <c r="H270" s="260"/>
      <c r="I270" s="260"/>
      <c r="J270" s="260"/>
      <c r="K270" s="260"/>
      <c r="L270" s="260"/>
      <c r="M270" s="221"/>
    </row>
    <row r="271" spans="2:13" ht="15" thickBot="1">
      <c r="B271" s="261" t="s">
        <v>202</v>
      </c>
      <c r="C271" s="262" t="s">
        <v>612</v>
      </c>
      <c r="D271" s="265">
        <v>6036492480.186698</v>
      </c>
      <c r="E271" s="265">
        <v>92335113</v>
      </c>
      <c r="F271" s="265">
        <v>65375.914796212979</v>
      </c>
      <c r="G271" s="265">
        <v>350915557.53143895</v>
      </c>
      <c r="H271" s="265">
        <v>557060199.97844517</v>
      </c>
      <c r="I271" s="265">
        <v>777272535.10568762</v>
      </c>
      <c r="J271" s="265">
        <v>778815529.2337178</v>
      </c>
      <c r="K271" s="265">
        <v>616015955.46232235</v>
      </c>
      <c r="L271" s="265">
        <v>11548191402.098953</v>
      </c>
      <c r="M271" s="290">
        <v>5.3343067672948143E-2</v>
      </c>
    </row>
    <row r="272" spans="2:13"/>
    <row r="273" spans="1:1"/>
    <row r="274" spans="1:1" s="388" customFormat="1" ht="28.2" customHeight="1">
      <c r="A274" s="390" t="s">
        <v>631</v>
      </c>
    </row>
    <row r="275" spans="1:1"/>
    <row r="276" spans="1:1"/>
    <row r="277" spans="1:1"/>
    <row r="278" spans="1:1"/>
    <row r="279" spans="1:1"/>
    <row r="280" spans="1:1"/>
    <row r="281" spans="1:1"/>
    <row r="282" spans="1:1"/>
    <row r="283" spans="1:1"/>
    <row r="284" spans="1:1"/>
    <row r="285" spans="1:1"/>
    <row r="286" spans="1:1"/>
    <row r="287" spans="1:1"/>
    <row r="288" spans="1:1"/>
    <row r="289"/>
    <row r="290"/>
    <row r="291"/>
    <row r="292"/>
    <row r="293"/>
    <row r="294"/>
    <row r="295"/>
    <row r="296"/>
    <row r="297"/>
    <row r="298"/>
    <row r="299"/>
    <row r="300"/>
    <row r="301"/>
    <row r="302"/>
    <row r="303"/>
    <row r="304"/>
    <row r="305"/>
    <row r="306"/>
    <row r="307"/>
    <row r="308"/>
    <row r="309"/>
    <row r="310"/>
    <row r="311"/>
    <row r="312"/>
    <row r="313"/>
    <row r="314"/>
    <row r="315"/>
    <row r="316"/>
    <row r="317"/>
    <row r="318"/>
    <row r="319"/>
    <row r="320"/>
    <row r="321"/>
    <row r="322"/>
    <row r="323"/>
    <row r="324"/>
    <row r="325"/>
    <row r="326"/>
    <row r="327"/>
    <row r="328"/>
    <row r="329"/>
    <row r="330"/>
    <row r="331"/>
    <row r="332"/>
    <row r="333"/>
    <row r="334"/>
    <row r="335"/>
    <row r="336"/>
    <row r="337"/>
    <row r="338"/>
    <row r="339"/>
    <row r="340"/>
    <row r="341"/>
    <row r="342"/>
    <row r="343"/>
    <row r="344"/>
    <row r="345"/>
    <row r="346"/>
    <row r="347"/>
    <row r="348"/>
    <row r="349"/>
    <row r="350"/>
    <row r="351"/>
    <row r="352"/>
    <row r="353"/>
    <row r="354"/>
    <row r="355"/>
    <row r="356"/>
    <row r="357"/>
    <row r="358"/>
    <row r="359"/>
    <row r="360"/>
    <row r="361"/>
    <row r="362"/>
    <row r="363"/>
    <row r="364"/>
    <row r="365"/>
    <row r="366"/>
    <row r="367"/>
    <row r="368"/>
    <row r="369"/>
    <row r="370"/>
    <row r="371"/>
    <row r="372"/>
    <row r="373"/>
    <row r="374"/>
    <row r="375"/>
    <row r="376"/>
    <row r="377"/>
    <row r="378"/>
    <row r="379"/>
    <row r="380"/>
    <row r="381"/>
    <row r="382"/>
    <row r="383"/>
    <row r="384"/>
    <row r="385"/>
  </sheetData>
  <autoFilter ref="B252:M252">
    <sortState ref="B249:M265">
      <sortCondition descending="1" ref="M248"/>
    </sortState>
  </autoFilter>
  <pageMargins left="0.7" right="0.7" top="0.75" bottom="0.75" header="0.3" footer="0.3"/>
  <pageSetup orientation="portrait" r:id="rId1"/>
  <ignoredErrors>
    <ignoredError sqref="K5:K6 K7:K24" formulaRange="1"/>
  </ignoredError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1"/>
  <sheetViews>
    <sheetView showGridLines="0" topLeftCell="A13" zoomScaleNormal="100" workbookViewId="0">
      <selection activeCell="E10" sqref="E10"/>
    </sheetView>
  </sheetViews>
  <sheetFormatPr defaultColWidth="0" defaultRowHeight="14.4" zeroHeight="1"/>
  <cols>
    <col min="1" max="2" width="8.88671875" customWidth="1"/>
    <col min="3" max="3" width="8.33203125" customWidth="1"/>
    <col min="4" max="4" width="10.109375" customWidth="1"/>
    <col min="5" max="5" width="10.33203125" customWidth="1"/>
    <col min="6" max="6" width="8.33203125" customWidth="1"/>
    <col min="7" max="7" width="9" customWidth="1"/>
    <col min="8" max="8" width="5.33203125" customWidth="1"/>
    <col min="9" max="9" width="8.6640625" customWidth="1"/>
    <col min="10" max="10" width="9.109375" customWidth="1"/>
    <col min="11" max="11" width="5.6640625" customWidth="1"/>
    <col min="12" max="12" width="9" customWidth="1"/>
    <col min="13" max="14" width="8.88671875" customWidth="1"/>
    <col min="15" max="16384" width="8.88671875" hidden="1"/>
  </cols>
  <sheetData>
    <row r="1" spans="1:12"/>
    <row r="2" spans="1:12" ht="16.2" thickBot="1">
      <c r="B2" s="20" t="s">
        <v>600</v>
      </c>
    </row>
    <row r="3" spans="1:12">
      <c r="B3" s="872" t="s">
        <v>594</v>
      </c>
      <c r="C3" s="867">
        <v>2011</v>
      </c>
      <c r="D3" s="868"/>
      <c r="E3" s="869"/>
      <c r="F3" s="867">
        <v>2012</v>
      </c>
      <c r="G3" s="868"/>
      <c r="H3" s="869"/>
      <c r="I3" s="867">
        <v>2013</v>
      </c>
      <c r="J3" s="868"/>
      <c r="K3" s="869"/>
      <c r="L3" s="336" t="s">
        <v>185</v>
      </c>
    </row>
    <row r="4" spans="1:12" ht="16.2" customHeight="1" thickBot="1">
      <c r="B4" s="873"/>
      <c r="C4" s="335" t="s">
        <v>599</v>
      </c>
      <c r="D4" s="334" t="s">
        <v>598</v>
      </c>
      <c r="E4" s="333" t="s">
        <v>597</v>
      </c>
      <c r="F4" s="335" t="s">
        <v>599</v>
      </c>
      <c r="G4" s="334" t="s">
        <v>598</v>
      </c>
      <c r="H4" s="333" t="s">
        <v>597</v>
      </c>
      <c r="I4" s="335" t="s">
        <v>599</v>
      </c>
      <c r="J4" s="334" t="s">
        <v>598</v>
      </c>
      <c r="K4" s="333" t="s">
        <v>597</v>
      </c>
      <c r="L4" s="332" t="s">
        <v>596</v>
      </c>
    </row>
    <row r="5" spans="1:12">
      <c r="A5">
        <v>1</v>
      </c>
      <c r="B5" s="331" t="s">
        <v>108</v>
      </c>
      <c r="C5" s="330">
        <v>148092.79699999999</v>
      </c>
      <c r="D5" s="329">
        <v>104356.592</v>
      </c>
      <c r="E5" s="328">
        <f t="shared" ref="E5:E11" si="0">D5/C5</f>
        <v>0.70467027508434465</v>
      </c>
      <c r="F5" s="330">
        <v>178874.845</v>
      </c>
      <c r="G5" s="329">
        <v>149329.288</v>
      </c>
      <c r="H5" s="328">
        <f t="shared" ref="H5:H11" si="1">G5/F5</f>
        <v>0.83482553402072834</v>
      </c>
      <c r="I5" s="330">
        <v>199735.32199999999</v>
      </c>
      <c r="J5" s="329">
        <v>183652.818</v>
      </c>
      <c r="K5" s="328">
        <f t="shared" ref="K5:K11" si="2">J5/I5</f>
        <v>0.91948092185717667</v>
      </c>
      <c r="L5" s="327">
        <f t="shared" ref="L5:L11" si="3">AVERAGE(K5,H5,E5)</f>
        <v>0.81965891032074989</v>
      </c>
    </row>
    <row r="6" spans="1:12">
      <c r="A6">
        <v>2</v>
      </c>
      <c r="B6" s="326" t="s">
        <v>84</v>
      </c>
      <c r="C6" s="325">
        <v>16802.687999999998</v>
      </c>
      <c r="D6" s="324">
        <v>13885.346</v>
      </c>
      <c r="E6" s="323">
        <f t="shared" si="0"/>
        <v>0.82637647024095195</v>
      </c>
      <c r="F6" s="325">
        <v>17908.913</v>
      </c>
      <c r="G6" s="324">
        <v>3635.8339999999998</v>
      </c>
      <c r="H6" s="323">
        <f t="shared" si="1"/>
        <v>0.20301812845927611</v>
      </c>
      <c r="I6" s="325">
        <v>23840.924999999999</v>
      </c>
      <c r="J6" s="324">
        <v>11409.205</v>
      </c>
      <c r="K6" s="323">
        <f t="shared" si="2"/>
        <v>0.47855546712218594</v>
      </c>
      <c r="L6" s="322">
        <f t="shared" si="3"/>
        <v>0.50265002194080466</v>
      </c>
    </row>
    <row r="7" spans="1:12">
      <c r="A7">
        <v>3</v>
      </c>
      <c r="B7" s="326" t="s">
        <v>192</v>
      </c>
      <c r="C7" s="325">
        <v>126.771</v>
      </c>
      <c r="D7" s="324">
        <v>209.63800000000001</v>
      </c>
      <c r="E7" s="323">
        <f t="shared" si="0"/>
        <v>1.6536747363355973</v>
      </c>
      <c r="F7" s="325">
        <v>150.4</v>
      </c>
      <c r="G7" s="324">
        <v>61.445999999999998</v>
      </c>
      <c r="H7" s="323">
        <f t="shared" si="1"/>
        <v>0.4085505319148936</v>
      </c>
      <c r="I7" s="325">
        <v>203.58500000000001</v>
      </c>
      <c r="J7" s="324">
        <v>122.83199999999999</v>
      </c>
      <c r="K7" s="323">
        <f t="shared" si="2"/>
        <v>0.60334504015521762</v>
      </c>
      <c r="L7" s="322">
        <f t="shared" si="3"/>
        <v>0.88852343613523621</v>
      </c>
    </row>
    <row r="8" spans="1:12">
      <c r="A8">
        <v>4</v>
      </c>
      <c r="B8" s="326" t="s">
        <v>80</v>
      </c>
      <c r="C8" s="325">
        <v>12244.331</v>
      </c>
      <c r="D8" s="324">
        <v>7809.6660000000002</v>
      </c>
      <c r="E8" s="323">
        <f t="shared" si="0"/>
        <v>0.63781892207912383</v>
      </c>
      <c r="F8" s="325">
        <v>9779.4480000000003</v>
      </c>
      <c r="G8" s="324">
        <v>8581.9590000000007</v>
      </c>
      <c r="H8" s="323">
        <f t="shared" si="1"/>
        <v>0.87755045070028492</v>
      </c>
      <c r="I8" s="325">
        <v>16427.141</v>
      </c>
      <c r="J8" s="324">
        <v>11269.727000000001</v>
      </c>
      <c r="K8" s="323">
        <f t="shared" si="2"/>
        <v>0.68604311608453361</v>
      </c>
      <c r="L8" s="322">
        <f t="shared" si="3"/>
        <v>0.73380416295464757</v>
      </c>
    </row>
    <row r="9" spans="1:12">
      <c r="A9">
        <v>5</v>
      </c>
      <c r="B9" s="326" t="s">
        <v>226</v>
      </c>
      <c r="C9" s="325">
        <v>24802.833999999999</v>
      </c>
      <c r="D9" s="324">
        <v>15961.103999999999</v>
      </c>
      <c r="E9" s="323">
        <f t="shared" si="0"/>
        <v>0.64351936556927325</v>
      </c>
      <c r="F9" s="325">
        <v>38200.74</v>
      </c>
      <c r="G9" s="324">
        <v>34622.421999999999</v>
      </c>
      <c r="H9" s="323">
        <f t="shared" si="1"/>
        <v>0.90632856850417032</v>
      </c>
      <c r="I9" s="325">
        <v>45727.438000000002</v>
      </c>
      <c r="J9" s="324">
        <v>42368.627999999997</v>
      </c>
      <c r="K9" s="323">
        <f t="shared" si="2"/>
        <v>0.9265471640899714</v>
      </c>
      <c r="L9" s="322">
        <f t="shared" si="3"/>
        <v>0.82546503272113847</v>
      </c>
    </row>
    <row r="10" spans="1:12">
      <c r="A10">
        <v>6</v>
      </c>
      <c r="B10" s="326" t="s">
        <v>591</v>
      </c>
      <c r="C10" s="325">
        <v>17747.467000000001</v>
      </c>
      <c r="D10" s="324">
        <v>10607.222</v>
      </c>
      <c r="E10" s="323">
        <f t="shared" si="0"/>
        <v>0.59767526261634962</v>
      </c>
      <c r="F10" s="325">
        <v>29555.434000000001</v>
      </c>
      <c r="G10" s="324">
        <v>10302.486000000001</v>
      </c>
      <c r="H10" s="323">
        <f t="shared" si="1"/>
        <v>0.34858178702434212</v>
      </c>
      <c r="I10" s="325">
        <v>24224.437000000002</v>
      </c>
      <c r="J10" s="324">
        <v>23690</v>
      </c>
      <c r="K10" s="323">
        <f t="shared" si="2"/>
        <v>0.97793810440259143</v>
      </c>
      <c r="L10" s="322">
        <f t="shared" si="3"/>
        <v>0.64139838468109434</v>
      </c>
    </row>
    <row r="11" spans="1:12" ht="15" thickBot="1">
      <c r="A11">
        <v>7</v>
      </c>
      <c r="B11" s="321" t="s">
        <v>218</v>
      </c>
      <c r="C11" s="320">
        <v>4222.7650000000003</v>
      </c>
      <c r="D11" s="319">
        <v>1838.77</v>
      </c>
      <c r="E11" s="318">
        <f t="shared" si="0"/>
        <v>0.43544218065651291</v>
      </c>
      <c r="F11" s="320">
        <v>7103.5569999999998</v>
      </c>
      <c r="G11" s="319">
        <v>3944.47</v>
      </c>
      <c r="H11" s="318">
        <f t="shared" si="1"/>
        <v>0.55528096698597618</v>
      </c>
      <c r="I11" s="320">
        <v>9877.5689999999995</v>
      </c>
      <c r="J11" s="319">
        <v>2431.7240000000002</v>
      </c>
      <c r="K11" s="318">
        <f t="shared" si="2"/>
        <v>0.24618648576385549</v>
      </c>
      <c r="L11" s="317">
        <f t="shared" si="3"/>
        <v>0.41230321113544816</v>
      </c>
    </row>
    <row r="12" spans="1:12" ht="15" thickBot="1">
      <c r="B12" s="316" t="s">
        <v>202</v>
      </c>
      <c r="C12" s="315">
        <f>SUM(C5:C11)</f>
        <v>224039.65300000002</v>
      </c>
      <c r="D12" s="315">
        <f>SUM(D5:D11)</f>
        <v>154668.33800000002</v>
      </c>
      <c r="E12" s="315"/>
      <c r="F12" s="315">
        <f>SUM(F5:F11)</f>
        <v>281573.33699999994</v>
      </c>
      <c r="G12" s="315">
        <f>SUM(G5:G11)</f>
        <v>210477.905</v>
      </c>
      <c r="H12" s="315"/>
      <c r="I12" s="315">
        <f>SUM(I5:I11)</f>
        <v>320036.41699999996</v>
      </c>
      <c r="J12" s="315">
        <f>SUM(J5:J11)</f>
        <v>274944.93399999995</v>
      </c>
      <c r="K12" s="314"/>
      <c r="L12" s="313"/>
    </row>
    <row r="13" spans="1:12">
      <c r="B13" s="389" t="s">
        <v>628</v>
      </c>
    </row>
    <row r="14" spans="1:12">
      <c r="B14" s="389" t="s">
        <v>630</v>
      </c>
    </row>
    <row r="15" spans="1:12">
      <c r="B15" s="389"/>
    </row>
    <row r="16" spans="1:12" s="388" customFormat="1"/>
    <row r="17" spans="1:6"/>
    <row r="18" spans="1:6" ht="16.2" thickBot="1">
      <c r="B18" s="20" t="s">
        <v>595</v>
      </c>
    </row>
    <row r="19" spans="1:6">
      <c r="B19" s="874" t="s">
        <v>594</v>
      </c>
      <c r="C19" s="876" t="s">
        <v>593</v>
      </c>
      <c r="D19" s="877"/>
      <c r="E19" s="878"/>
      <c r="F19" s="870" t="s">
        <v>592</v>
      </c>
    </row>
    <row r="20" spans="1:6" ht="15" thickBot="1">
      <c r="B20" s="875"/>
      <c r="C20" s="312">
        <v>2011</v>
      </c>
      <c r="D20" s="311">
        <v>2012</v>
      </c>
      <c r="E20" s="310">
        <v>2013</v>
      </c>
      <c r="F20" s="871"/>
    </row>
    <row r="21" spans="1:6">
      <c r="A21">
        <v>1</v>
      </c>
      <c r="B21" s="309" t="s">
        <v>108</v>
      </c>
      <c r="C21" s="308">
        <v>0.70030000000000003</v>
      </c>
      <c r="D21" s="307">
        <v>0.79610000000000003</v>
      </c>
      <c r="E21" s="306">
        <v>0.88819999999999999</v>
      </c>
      <c r="F21" s="299">
        <f t="shared" ref="F21:F27" si="4">AVERAGE(C21:E21)</f>
        <v>0.79486666666666661</v>
      </c>
    </row>
    <row r="22" spans="1:6">
      <c r="A22">
        <v>2</v>
      </c>
      <c r="B22" s="303" t="s">
        <v>84</v>
      </c>
      <c r="C22" s="302">
        <v>0.88170000000000004</v>
      </c>
      <c r="D22" s="301">
        <v>0.55379999999999996</v>
      </c>
      <c r="E22" s="300">
        <v>0.66469999999999996</v>
      </c>
      <c r="F22" s="299">
        <f t="shared" si="4"/>
        <v>0.70006666666666673</v>
      </c>
    </row>
    <row r="23" spans="1:6">
      <c r="A23">
        <v>3</v>
      </c>
      <c r="B23" s="303" t="s">
        <v>192</v>
      </c>
      <c r="C23" s="302">
        <v>0.57389999999999997</v>
      </c>
      <c r="D23" s="301">
        <v>0.67090000000000005</v>
      </c>
      <c r="E23" s="300">
        <v>0.77810000000000001</v>
      </c>
      <c r="F23" s="299">
        <f t="shared" si="4"/>
        <v>0.67430000000000001</v>
      </c>
    </row>
    <row r="24" spans="1:6">
      <c r="A24">
        <v>4</v>
      </c>
      <c r="B24" s="303" t="s">
        <v>80</v>
      </c>
      <c r="C24" s="302">
        <v>0.78969999999999996</v>
      </c>
      <c r="D24" s="305">
        <v>0.90149999999999997</v>
      </c>
      <c r="E24" s="300">
        <v>0.84209999999999996</v>
      </c>
      <c r="F24" s="299">
        <f t="shared" si="4"/>
        <v>0.84443333333333326</v>
      </c>
    </row>
    <row r="25" spans="1:6">
      <c r="A25">
        <v>5</v>
      </c>
      <c r="B25" s="303" t="s">
        <v>226</v>
      </c>
      <c r="C25" s="304">
        <v>0.70189999999999997</v>
      </c>
      <c r="D25" s="301">
        <v>0.91080000000000005</v>
      </c>
      <c r="E25" s="300">
        <v>0.90349999999999997</v>
      </c>
      <c r="F25" s="299">
        <f t="shared" si="4"/>
        <v>0.83873333333333333</v>
      </c>
    </row>
    <row r="26" spans="1:6">
      <c r="A26">
        <v>6</v>
      </c>
      <c r="B26" s="303" t="s">
        <v>591</v>
      </c>
      <c r="C26" s="302">
        <v>0.92859999999999998</v>
      </c>
      <c r="D26" s="301">
        <v>0.72829999999999995</v>
      </c>
      <c r="E26" s="300">
        <v>0.89600000000000002</v>
      </c>
      <c r="F26" s="299">
        <f t="shared" si="4"/>
        <v>0.85096666666666654</v>
      </c>
    </row>
    <row r="27" spans="1:6" ht="15" thickBot="1">
      <c r="A27">
        <v>7</v>
      </c>
      <c r="B27" s="298" t="s">
        <v>218</v>
      </c>
      <c r="C27" s="297">
        <v>0.95760000000000001</v>
      </c>
      <c r="D27" s="296">
        <v>0.9657</v>
      </c>
      <c r="E27" s="295">
        <v>0.93379999999999996</v>
      </c>
      <c r="F27" s="294">
        <f t="shared" si="4"/>
        <v>0.95236666666666669</v>
      </c>
    </row>
    <row r="28" spans="1:6">
      <c r="B28" s="389" t="s">
        <v>629</v>
      </c>
    </row>
    <row r="29" spans="1:6"/>
    <row r="30" spans="1:6"/>
    <row r="31" spans="1:6"/>
  </sheetData>
  <mergeCells count="7">
    <mergeCell ref="I3:K3"/>
    <mergeCell ref="F3:H3"/>
    <mergeCell ref="F19:F20"/>
    <mergeCell ref="B3:B4"/>
    <mergeCell ref="C3:E3"/>
    <mergeCell ref="B19:B20"/>
    <mergeCell ref="C19:E19"/>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1"/>
  <sheetViews>
    <sheetView showGridLines="0" topLeftCell="N1" zoomScaleNormal="100" workbookViewId="0">
      <selection activeCell="O8" sqref="O8"/>
    </sheetView>
  </sheetViews>
  <sheetFormatPr defaultColWidth="0" defaultRowHeight="14.4" zeroHeight="1"/>
  <cols>
    <col min="1" max="1" width="19.5546875" style="31" bestFit="1" customWidth="1"/>
    <col min="2" max="2" width="22.5546875" style="31" customWidth="1"/>
    <col min="3" max="3" width="35.44140625" style="31" customWidth="1"/>
    <col min="4" max="4" width="43.5546875" style="31" bestFit="1" customWidth="1"/>
    <col min="5" max="5" width="9.109375" style="31" customWidth="1"/>
    <col min="6" max="6" width="21.44140625" style="31" customWidth="1"/>
    <col min="7" max="7" width="28.6640625" style="31" bestFit="1" customWidth="1"/>
    <col min="8" max="8" width="50.33203125" style="31" bestFit="1" customWidth="1"/>
    <col min="9" max="9" width="52" style="31" bestFit="1" customWidth="1"/>
    <col min="10" max="10" width="52.33203125" style="31" bestFit="1" customWidth="1"/>
    <col min="11" max="11" width="53.6640625" style="31" bestFit="1" customWidth="1"/>
    <col min="12" max="12" width="44.6640625" style="31" bestFit="1" customWidth="1"/>
    <col min="13" max="13" width="59.33203125" style="31" bestFit="1" customWidth="1"/>
    <col min="14" max="14" width="15.109375" style="31" customWidth="1"/>
    <col min="15" max="15" width="12.6640625" style="31" bestFit="1" customWidth="1"/>
    <col min="16" max="16" width="15.109375" style="31" bestFit="1" customWidth="1"/>
    <col min="17" max="17" width="7.109375" style="31" bestFit="1" customWidth="1"/>
    <col min="18" max="18" width="15.88671875" style="31" bestFit="1" customWidth="1"/>
    <col min="19" max="19" width="59.88671875" style="31" bestFit="1" customWidth="1"/>
    <col min="20" max="20" width="30.6640625" style="31" customWidth="1"/>
    <col min="21" max="22" width="7.44140625" style="31" customWidth="1"/>
    <col min="23" max="16384" width="7.44140625" style="31" hidden="1"/>
  </cols>
  <sheetData>
    <row r="1" spans="1:20" s="214" customFormat="1">
      <c r="A1" s="215" t="s">
        <v>537</v>
      </c>
      <c r="B1" s="216" t="s">
        <v>547</v>
      </c>
      <c r="C1" s="216" t="s">
        <v>536</v>
      </c>
      <c r="D1" s="216" t="s">
        <v>546</v>
      </c>
      <c r="E1" s="216" t="s">
        <v>68</v>
      </c>
      <c r="F1" s="216" t="s">
        <v>541</v>
      </c>
      <c r="G1" s="216" t="s">
        <v>535</v>
      </c>
      <c r="H1" s="217" t="s">
        <v>534</v>
      </c>
      <c r="I1" s="217" t="s">
        <v>481</v>
      </c>
      <c r="J1" s="217" t="s">
        <v>482</v>
      </c>
      <c r="K1" s="217" t="s">
        <v>483</v>
      </c>
      <c r="L1" s="217" t="s">
        <v>180</v>
      </c>
      <c r="M1" s="217" t="s">
        <v>73</v>
      </c>
      <c r="N1" s="217" t="s">
        <v>25</v>
      </c>
      <c r="O1" s="216" t="s">
        <v>533</v>
      </c>
      <c r="P1" s="216" t="s">
        <v>201</v>
      </c>
      <c r="Q1" s="216" t="s">
        <v>532</v>
      </c>
      <c r="R1" s="216" t="s">
        <v>531</v>
      </c>
      <c r="S1" s="216" t="s">
        <v>8</v>
      </c>
      <c r="T1" s="218" t="s">
        <v>452</v>
      </c>
    </row>
    <row r="2" spans="1:20" ht="28.8">
      <c r="A2" s="219" t="s">
        <v>194</v>
      </c>
      <c r="B2" s="211" t="s">
        <v>197</v>
      </c>
      <c r="C2" s="211" t="s">
        <v>109</v>
      </c>
      <c r="D2" s="211" t="s">
        <v>271</v>
      </c>
      <c r="E2" s="211" t="s">
        <v>68</v>
      </c>
      <c r="F2" s="211" t="s">
        <v>191</v>
      </c>
      <c r="G2" s="211" t="s">
        <v>278</v>
      </c>
      <c r="H2" s="211" t="s">
        <v>483</v>
      </c>
      <c r="I2" s="213" t="s">
        <v>64</v>
      </c>
      <c r="J2" s="212" t="s">
        <v>446</v>
      </c>
      <c r="K2" s="212" t="s">
        <v>82</v>
      </c>
      <c r="L2" s="212" t="s">
        <v>71</v>
      </c>
      <c r="M2" s="212" t="s">
        <v>74</v>
      </c>
      <c r="N2" s="212" t="s">
        <v>25</v>
      </c>
      <c r="O2" s="211" t="s">
        <v>69</v>
      </c>
      <c r="P2" s="211" t="s">
        <v>14</v>
      </c>
      <c r="Q2" s="211" t="s">
        <v>530</v>
      </c>
      <c r="R2" s="211" t="s">
        <v>529</v>
      </c>
      <c r="S2" s="211" t="s">
        <v>528</v>
      </c>
      <c r="T2" s="220" t="s">
        <v>453</v>
      </c>
    </row>
    <row r="3" spans="1:20">
      <c r="A3" s="219" t="s">
        <v>182</v>
      </c>
      <c r="B3" s="211" t="s">
        <v>195</v>
      </c>
      <c r="C3" s="211" t="s">
        <v>174</v>
      </c>
      <c r="D3" s="211" t="s">
        <v>272</v>
      </c>
      <c r="E3" s="211"/>
      <c r="F3" s="211"/>
      <c r="G3" s="211" t="s">
        <v>267</v>
      </c>
      <c r="H3" s="211" t="s">
        <v>540</v>
      </c>
      <c r="I3" s="212" t="s">
        <v>188</v>
      </c>
      <c r="J3" s="212" t="s">
        <v>179</v>
      </c>
      <c r="K3" s="212" t="s">
        <v>447</v>
      </c>
      <c r="L3" s="212" t="s">
        <v>193</v>
      </c>
      <c r="M3" s="212" t="s">
        <v>187</v>
      </c>
      <c r="N3" s="212"/>
      <c r="O3" s="211" t="s">
        <v>65</v>
      </c>
      <c r="P3" s="211" t="s">
        <v>15</v>
      </c>
      <c r="Q3" s="211" t="s">
        <v>527</v>
      </c>
      <c r="R3" s="211" t="s">
        <v>526</v>
      </c>
      <c r="S3" s="211" t="s">
        <v>525</v>
      </c>
      <c r="T3" s="220" t="s">
        <v>463</v>
      </c>
    </row>
    <row r="4" spans="1:20">
      <c r="A4" s="219" t="s">
        <v>85</v>
      </c>
      <c r="B4" s="211" t="s">
        <v>734</v>
      </c>
      <c r="C4" s="211" t="s">
        <v>86</v>
      </c>
      <c r="D4" s="211" t="s">
        <v>269</v>
      </c>
      <c r="E4" s="211"/>
      <c r="F4" s="211"/>
      <c r="G4" s="211" t="s">
        <v>465</v>
      </c>
      <c r="H4" s="211" t="s">
        <v>73</v>
      </c>
      <c r="I4" s="212" t="s">
        <v>184</v>
      </c>
      <c r="J4" s="211"/>
      <c r="K4" s="211"/>
      <c r="L4" s="212" t="s">
        <v>181</v>
      </c>
      <c r="M4" s="212" t="s">
        <v>186</v>
      </c>
      <c r="N4" s="211"/>
      <c r="O4" s="211" t="s">
        <v>96</v>
      </c>
      <c r="P4" s="211" t="s">
        <v>16</v>
      </c>
      <c r="Q4" s="211"/>
      <c r="R4" s="211"/>
      <c r="S4" s="211" t="s">
        <v>524</v>
      </c>
      <c r="T4" s="220" t="s">
        <v>457</v>
      </c>
    </row>
    <row r="5" spans="1:20">
      <c r="A5" s="219" t="s">
        <v>68</v>
      </c>
      <c r="B5" s="211" t="s">
        <v>183</v>
      </c>
      <c r="C5" s="211" t="s">
        <v>171</v>
      </c>
      <c r="D5" s="211" t="s">
        <v>523</v>
      </c>
      <c r="E5" s="211"/>
      <c r="F5" s="211"/>
      <c r="G5" s="211" t="s">
        <v>464</v>
      </c>
      <c r="H5" s="211" t="s">
        <v>482</v>
      </c>
      <c r="I5" s="212" t="s">
        <v>448</v>
      </c>
      <c r="J5" s="211"/>
      <c r="K5" s="211"/>
      <c r="L5" s="211"/>
      <c r="M5" s="211"/>
      <c r="N5" s="211"/>
      <c r="O5" s="211" t="s">
        <v>25</v>
      </c>
      <c r="P5" s="211" t="s">
        <v>72</v>
      </c>
      <c r="Q5" s="211"/>
      <c r="R5" s="211"/>
      <c r="S5" s="211" t="s">
        <v>522</v>
      </c>
      <c r="T5" s="220" t="s">
        <v>454</v>
      </c>
    </row>
    <row r="6" spans="1:20">
      <c r="A6" s="219" t="s">
        <v>191</v>
      </c>
      <c r="B6" s="211"/>
      <c r="C6" s="211" t="s">
        <v>103</v>
      </c>
      <c r="D6" s="211" t="s">
        <v>274</v>
      </c>
      <c r="E6" s="211"/>
      <c r="F6" s="211"/>
      <c r="G6" s="211" t="s">
        <v>196</v>
      </c>
      <c r="H6" s="211" t="s">
        <v>180</v>
      </c>
      <c r="I6" s="211"/>
      <c r="J6" s="211"/>
      <c r="K6" s="211"/>
      <c r="L6" s="211"/>
      <c r="M6" s="211"/>
      <c r="N6" s="211"/>
      <c r="O6" s="211"/>
      <c r="P6" s="211"/>
      <c r="Q6" s="211"/>
      <c r="R6" s="211"/>
      <c r="S6" s="211" t="s">
        <v>521</v>
      </c>
      <c r="T6" s="220" t="s">
        <v>466</v>
      </c>
    </row>
    <row r="7" spans="1:20">
      <c r="A7" s="219" t="s">
        <v>25</v>
      </c>
      <c r="B7" s="211"/>
      <c r="C7" s="211"/>
      <c r="D7" s="211" t="s">
        <v>451</v>
      </c>
      <c r="E7" s="211"/>
      <c r="F7" s="211"/>
      <c r="G7" s="211" t="s">
        <v>25</v>
      </c>
      <c r="H7" s="211" t="s">
        <v>25</v>
      </c>
      <c r="I7" s="211"/>
      <c r="J7" s="211"/>
      <c r="K7" s="211"/>
      <c r="L7" s="211"/>
      <c r="M7" s="211"/>
      <c r="N7" s="211"/>
      <c r="O7" s="211"/>
      <c r="P7" s="211"/>
      <c r="Q7" s="211"/>
      <c r="R7" s="211"/>
      <c r="S7" s="211" t="s">
        <v>520</v>
      </c>
      <c r="T7" s="220" t="s">
        <v>456</v>
      </c>
    </row>
    <row r="8" spans="1:20">
      <c r="A8" s="219"/>
      <c r="B8" s="211"/>
      <c r="C8" s="211"/>
      <c r="E8" s="211"/>
      <c r="F8" s="211"/>
      <c r="G8" s="211"/>
      <c r="H8" s="221"/>
      <c r="I8" s="211"/>
      <c r="J8" s="211"/>
      <c r="K8" s="211"/>
      <c r="L8" s="211"/>
      <c r="M8" s="211"/>
      <c r="N8" s="211"/>
      <c r="O8" s="211"/>
      <c r="P8" s="211"/>
      <c r="Q8" s="211"/>
      <c r="R8" s="211"/>
      <c r="S8" s="211" t="s">
        <v>519</v>
      </c>
      <c r="T8" s="220" t="s">
        <v>455</v>
      </c>
    </row>
    <row r="9" spans="1:20">
      <c r="A9" s="219"/>
      <c r="B9" s="211"/>
      <c r="C9" s="211"/>
      <c r="D9" s="211"/>
      <c r="E9" s="211"/>
      <c r="F9" s="211"/>
      <c r="G9" s="211"/>
      <c r="H9" s="211"/>
      <c r="I9" s="211"/>
      <c r="J9" s="211"/>
      <c r="K9" s="211"/>
      <c r="L9" s="211"/>
      <c r="M9" s="211"/>
      <c r="N9" s="211"/>
      <c r="O9" s="211"/>
      <c r="P9" s="211"/>
      <c r="Q9" s="211"/>
      <c r="R9" s="211"/>
      <c r="S9" s="211" t="s">
        <v>518</v>
      </c>
      <c r="T9" s="220" t="s">
        <v>548</v>
      </c>
    </row>
    <row r="10" spans="1:20">
      <c r="A10" s="219"/>
      <c r="B10" s="211"/>
      <c r="C10" s="211"/>
      <c r="D10" s="211"/>
      <c r="E10" s="211"/>
      <c r="F10" s="211"/>
      <c r="G10" s="211"/>
      <c r="H10" s="211"/>
      <c r="I10" s="211"/>
      <c r="J10" s="211"/>
      <c r="K10" s="211"/>
      <c r="L10" s="211"/>
      <c r="M10" s="211"/>
      <c r="N10" s="211"/>
      <c r="O10" s="211"/>
      <c r="P10" s="211"/>
      <c r="Q10" s="211"/>
      <c r="R10" s="211"/>
      <c r="S10" s="211" t="s">
        <v>517</v>
      </c>
      <c r="T10" s="220" t="s">
        <v>78</v>
      </c>
    </row>
    <row r="11" spans="1:20">
      <c r="A11" s="219"/>
      <c r="B11" s="211"/>
      <c r="C11" s="211"/>
      <c r="D11" s="211"/>
      <c r="E11" s="211"/>
      <c r="F11" s="211"/>
      <c r="G11" s="211"/>
      <c r="H11" s="211"/>
      <c r="I11" s="211"/>
      <c r="J11" s="211"/>
      <c r="K11" s="211"/>
      <c r="L11" s="211"/>
      <c r="M11" s="211"/>
      <c r="N11" s="211"/>
      <c r="O11" s="211"/>
      <c r="P11" s="211"/>
      <c r="Q11" s="211"/>
      <c r="R11" s="211"/>
      <c r="S11" s="211" t="s">
        <v>516</v>
      </c>
      <c r="T11" s="220"/>
    </row>
    <row r="12" spans="1:20">
      <c r="A12" s="219"/>
      <c r="B12" s="211"/>
      <c r="C12" s="211"/>
      <c r="D12" s="211"/>
      <c r="E12" s="211"/>
      <c r="F12" s="211"/>
      <c r="G12" s="211"/>
      <c r="H12" s="211"/>
      <c r="I12" s="211"/>
      <c r="J12" s="211"/>
      <c r="K12" s="211"/>
      <c r="L12" s="211"/>
      <c r="M12" s="211"/>
      <c r="N12" s="211"/>
      <c r="O12" s="211"/>
      <c r="P12" s="211"/>
      <c r="Q12" s="211"/>
      <c r="R12" s="211"/>
      <c r="S12" s="211"/>
      <c r="T12" s="220"/>
    </row>
    <row r="13" spans="1:20">
      <c r="A13" s="219"/>
      <c r="B13" s="211"/>
      <c r="C13" s="211"/>
      <c r="D13" s="211"/>
      <c r="E13" s="211"/>
      <c r="F13" s="211"/>
      <c r="G13" s="211"/>
      <c r="H13" s="211"/>
      <c r="I13" s="211"/>
      <c r="J13" s="211"/>
      <c r="K13" s="211"/>
      <c r="L13" s="211"/>
      <c r="M13" s="211"/>
      <c r="N13" s="211"/>
      <c r="O13" s="211"/>
      <c r="P13" s="211"/>
      <c r="Q13" s="211"/>
      <c r="R13" s="211"/>
      <c r="S13" s="211"/>
      <c r="T13" s="220"/>
    </row>
    <row r="14" spans="1:20">
      <c r="A14" s="219"/>
      <c r="B14" s="211"/>
      <c r="C14" s="211"/>
      <c r="D14" s="211"/>
      <c r="E14" s="211"/>
      <c r="F14" s="211"/>
      <c r="G14" s="211"/>
      <c r="H14" s="211"/>
      <c r="I14" s="211"/>
      <c r="J14" s="211"/>
      <c r="K14" s="211"/>
      <c r="L14" s="211"/>
      <c r="M14" s="211"/>
      <c r="N14" s="211"/>
      <c r="O14" s="211"/>
      <c r="P14" s="211"/>
      <c r="Q14" s="211"/>
      <c r="R14" s="211"/>
      <c r="S14" s="211"/>
      <c r="T14" s="220"/>
    </row>
    <row r="15" spans="1:20">
      <c r="A15" s="219"/>
      <c r="B15" s="211"/>
      <c r="C15" s="211"/>
      <c r="D15" s="211"/>
      <c r="E15" s="211"/>
      <c r="F15" s="211"/>
      <c r="G15" s="211"/>
      <c r="H15" s="211"/>
      <c r="I15" s="211"/>
      <c r="J15" s="211"/>
      <c r="K15" s="211"/>
      <c r="L15" s="211"/>
      <c r="M15" s="211"/>
      <c r="N15" s="211"/>
      <c r="O15" s="211"/>
      <c r="P15" s="211"/>
      <c r="Q15" s="211"/>
      <c r="R15" s="211"/>
      <c r="S15" s="211"/>
      <c r="T15" s="220"/>
    </row>
    <row r="16" spans="1:20">
      <c r="A16" s="219"/>
      <c r="B16" s="211"/>
      <c r="C16" s="211"/>
      <c r="D16" s="211"/>
      <c r="E16" s="211"/>
      <c r="F16" s="211"/>
      <c r="G16" s="211"/>
      <c r="H16" s="211"/>
      <c r="I16" s="211"/>
      <c r="J16" s="211"/>
      <c r="K16" s="211"/>
      <c r="L16" s="211"/>
      <c r="M16" s="211"/>
      <c r="N16" s="211"/>
      <c r="O16" s="211"/>
      <c r="P16" s="211"/>
      <c r="Q16" s="211"/>
      <c r="R16" s="211"/>
      <c r="S16" s="211"/>
      <c r="T16" s="220"/>
    </row>
    <row r="17" spans="1:20" ht="15" thickBot="1">
      <c r="A17" s="222"/>
      <c r="B17" s="223"/>
      <c r="C17" s="223"/>
      <c r="D17" s="223"/>
      <c r="E17" s="223"/>
      <c r="F17" s="223"/>
      <c r="G17" s="223"/>
      <c r="H17" s="223"/>
      <c r="I17" s="223"/>
      <c r="J17" s="223"/>
      <c r="K17" s="223"/>
      <c r="L17" s="223"/>
      <c r="M17" s="223"/>
      <c r="N17" s="224"/>
      <c r="O17" s="223"/>
      <c r="P17" s="223"/>
      <c r="Q17" s="223"/>
      <c r="R17" s="223"/>
      <c r="S17" s="223"/>
      <c r="T17" s="225"/>
    </row>
    <row r="18" spans="1:20"/>
    <row r="19" spans="1:20"/>
    <row r="20" spans="1:20"/>
    <row r="21" spans="1:20"/>
    <row r="22" spans="1:20"/>
    <row r="23" spans="1:20"/>
    <row r="24" spans="1:20"/>
    <row r="25" spans="1:20"/>
    <row r="26" spans="1:20"/>
    <row r="27" spans="1:20" hidden="1"/>
    <row r="28" spans="1:20" hidden="1"/>
    <row r="29" spans="1:20" hidden="1"/>
    <row r="30" spans="1:20" hidden="1"/>
    <row r="31" spans="1:20" hidden="1"/>
    <row r="32" spans="1:20" hidden="1"/>
    <row r="33" hidden="1"/>
    <row r="34" hidden="1"/>
    <row r="35" hidden="1"/>
    <row r="36" hidden="1"/>
    <row r="37" hidden="1"/>
    <row r="38" hidden="1"/>
    <row r="39" hidden="1"/>
    <row r="40" hidden="1"/>
    <row r="41" hidden="1"/>
  </sheetData>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9"/>
  <sheetViews>
    <sheetView showGridLines="0" workbookViewId="0">
      <selection activeCell="B11" sqref="B11"/>
    </sheetView>
  </sheetViews>
  <sheetFormatPr defaultColWidth="0" defaultRowHeight="14.4" zeroHeight="1"/>
  <cols>
    <col min="1" max="1" width="5.44140625" customWidth="1"/>
    <col min="2" max="2" width="4.6640625" style="31" customWidth="1"/>
    <col min="3" max="3" width="60.5546875" customWidth="1"/>
    <col min="4" max="4" width="8.88671875" customWidth="1"/>
    <col min="5" max="16384" width="8.88671875" hidden="1"/>
  </cols>
  <sheetData>
    <row r="1" spans="2:3"/>
    <row r="2" spans="2:3" ht="15.6">
      <c r="B2" s="879" t="s">
        <v>449</v>
      </c>
      <c r="C2" s="879"/>
    </row>
    <row r="3" spans="2:3" ht="28.8">
      <c r="B3" s="145">
        <v>1</v>
      </c>
      <c r="C3" s="146" t="s">
        <v>63</v>
      </c>
    </row>
    <row r="4" spans="2:3" ht="28.8">
      <c r="B4" s="149">
        <v>1</v>
      </c>
      <c r="C4" s="148" t="s">
        <v>64</v>
      </c>
    </row>
    <row r="5" spans="2:3">
      <c r="B5" s="143">
        <v>2</v>
      </c>
      <c r="C5" s="142" t="s">
        <v>188</v>
      </c>
    </row>
    <row r="6" spans="2:3">
      <c r="B6" s="143">
        <v>3</v>
      </c>
      <c r="C6" s="142" t="s">
        <v>184</v>
      </c>
    </row>
    <row r="7" spans="2:3">
      <c r="B7" s="143">
        <v>4</v>
      </c>
      <c r="C7" s="142" t="s">
        <v>448</v>
      </c>
    </row>
    <row r="8" spans="2:3" ht="28.8">
      <c r="B8" s="147">
        <v>2</v>
      </c>
      <c r="C8" s="146" t="s">
        <v>81</v>
      </c>
    </row>
    <row r="9" spans="2:3">
      <c r="B9" s="143">
        <v>5</v>
      </c>
      <c r="C9" s="142" t="s">
        <v>82</v>
      </c>
    </row>
    <row r="10" spans="2:3">
      <c r="B10" s="143">
        <v>6</v>
      </c>
      <c r="C10" s="142" t="s">
        <v>447</v>
      </c>
    </row>
    <row r="11" spans="2:3">
      <c r="B11" s="145">
        <v>3</v>
      </c>
      <c r="C11" s="144" t="s">
        <v>73</v>
      </c>
    </row>
    <row r="12" spans="2:3">
      <c r="B12" s="143">
        <v>7</v>
      </c>
      <c r="C12" s="142" t="s">
        <v>74</v>
      </c>
    </row>
    <row r="13" spans="2:3">
      <c r="B13" s="143">
        <v>8</v>
      </c>
      <c r="C13" s="142" t="s">
        <v>187</v>
      </c>
    </row>
    <row r="14" spans="2:3">
      <c r="B14" s="143">
        <v>9</v>
      </c>
      <c r="C14" s="142" t="s">
        <v>186</v>
      </c>
    </row>
    <row r="15" spans="2:3">
      <c r="B15" s="145">
        <v>4</v>
      </c>
      <c r="C15" s="144" t="s">
        <v>180</v>
      </c>
    </row>
    <row r="16" spans="2:3">
      <c r="B16" s="143">
        <v>10</v>
      </c>
      <c r="C16" s="142" t="s">
        <v>71</v>
      </c>
    </row>
    <row r="17" spans="2:4">
      <c r="B17" s="143">
        <v>11</v>
      </c>
      <c r="C17" s="142" t="s">
        <v>193</v>
      </c>
    </row>
    <row r="18" spans="2:4">
      <c r="B18" s="143">
        <v>12</v>
      </c>
      <c r="C18" s="142" t="s">
        <v>181</v>
      </c>
    </row>
    <row r="19" spans="2:4">
      <c r="B19" s="145">
        <v>5</v>
      </c>
      <c r="C19" s="144" t="s">
        <v>67</v>
      </c>
    </row>
    <row r="20" spans="2:4">
      <c r="B20" s="143">
        <v>13</v>
      </c>
      <c r="C20" s="142" t="s">
        <v>446</v>
      </c>
    </row>
    <row r="21" spans="2:4">
      <c r="B21" s="143">
        <v>14</v>
      </c>
      <c r="C21" s="142" t="s">
        <v>179</v>
      </c>
    </row>
    <row r="22" spans="2:4"/>
    <row r="23" spans="2:4" hidden="1">
      <c r="D23" s="141"/>
    </row>
    <row r="24" spans="2:4" hidden="1">
      <c r="D24" s="140"/>
    </row>
    <row r="25" spans="2:4" hidden="1"/>
    <row r="26" spans="2:4" hidden="1">
      <c r="D26" s="141"/>
    </row>
    <row r="27" spans="2:4" hidden="1">
      <c r="D27" s="140"/>
    </row>
    <row r="28" spans="2:4" hidden="1">
      <c r="D28" s="140"/>
    </row>
    <row r="29" spans="2:4" hidden="1">
      <c r="D29" s="140"/>
    </row>
    <row r="30" spans="2:4" hidden="1">
      <c r="D30" s="141"/>
    </row>
    <row r="31" spans="2:4" hidden="1">
      <c r="D31" s="140"/>
    </row>
    <row r="32" spans="2:4" hidden="1">
      <c r="D32" s="141"/>
    </row>
    <row r="33" spans="4:4" hidden="1">
      <c r="D33" s="140"/>
    </row>
    <row r="34" spans="4:4" hidden="1">
      <c r="D34" s="140"/>
    </row>
    <row r="35" spans="4:4" hidden="1">
      <c r="D35" s="140"/>
    </row>
    <row r="36" spans="4:4" hidden="1">
      <c r="D36" s="140"/>
    </row>
    <row r="37" spans="4:4" hidden="1">
      <c r="D37" s="141"/>
    </row>
    <row r="38" spans="4:4" hidden="1">
      <c r="D38" s="140"/>
    </row>
    <row r="39" spans="4:4" hidden="1">
      <c r="D39" s="140"/>
    </row>
  </sheetData>
  <mergeCells count="1">
    <mergeCell ref="B2:C2"/>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23</vt:i4>
      </vt:variant>
    </vt:vector>
  </HeadingPairs>
  <TitlesOfParts>
    <vt:vector size="30" baseType="lpstr">
      <vt:lpstr>CIIP 2016 Revised Format</vt:lpstr>
      <vt:lpstr>Summary Tables &amp; Charts</vt:lpstr>
      <vt:lpstr>GRDP interregional</vt:lpstr>
      <vt:lpstr>GRDP (from 04Mar15 INFRACOM)</vt:lpstr>
      <vt:lpstr>Absorptive Capacity</vt:lpstr>
      <vt:lpstr>Lookup</vt:lpstr>
      <vt:lpstr>Infra Strategic Framework</vt:lpstr>
      <vt:lpstr>'CIIP 2016 Revised Format'!_FilterDatabase</vt:lpstr>
      <vt:lpstr>Basic</vt:lpstr>
      <vt:lpstr>Basicinfrastructureservicesenhanced</vt:lpstr>
      <vt:lpstr>competitivenessenhanced</vt:lpstr>
      <vt:lpstr>Energy</vt:lpstr>
      <vt:lpstr>environmentalqualityimproved</vt:lpstr>
      <vt:lpstr>governanceimproved</vt:lpstr>
      <vt:lpstr>ICT</vt:lpstr>
      <vt:lpstr>infratype</vt:lpstr>
      <vt:lpstr>InvestmentType</vt:lpstr>
      <vt:lpstr>others</vt:lpstr>
      <vt:lpstr>Outcomes</vt:lpstr>
      <vt:lpstr>PDPChapter</vt:lpstr>
      <vt:lpstr>'CIIP 2016 Revised Format'!Print_Area</vt:lpstr>
      <vt:lpstr>'CIIP 2016 Revised Format'!Print_Titles</vt:lpstr>
      <vt:lpstr>Project_Status</vt:lpstr>
      <vt:lpstr>Saferenvironmentcreated</vt:lpstr>
      <vt:lpstr>sector</vt:lpstr>
      <vt:lpstr>socialinfrastructure</vt:lpstr>
      <vt:lpstr>spatial</vt:lpstr>
      <vt:lpstr>transportation</vt:lpstr>
      <vt:lpstr>waterresources</vt:lpstr>
      <vt:lpstr>YesNo</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Renz</dc:creator>
  <cp:lastModifiedBy>RMVG</cp:lastModifiedBy>
  <cp:lastPrinted>2016-02-29T03:06:01Z</cp:lastPrinted>
  <dcterms:created xsi:type="dcterms:W3CDTF">2014-11-13T08:53:16Z</dcterms:created>
  <dcterms:modified xsi:type="dcterms:W3CDTF">2016-03-10T08:02:37Z</dcterms:modified>
</cp:coreProperties>
</file>