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"/>
    </mc:Choice>
  </mc:AlternateContent>
  <bookViews>
    <workbookView xWindow="120" yWindow="90" windowWidth="23895" windowHeight="14535" firstSheet="3" activeTab="3"/>
  </bookViews>
  <sheets>
    <sheet name="LoanProjectFinInfo2 (ok)" sheetId="5" state="hidden" r:id="rId1"/>
    <sheet name="Sheet3" sheetId="6" state="hidden" r:id="rId2"/>
    <sheet name="Sheet3 (2)" sheetId="8" state="hidden" r:id="rId3"/>
    <sheet name="Sheet3 (3)" sheetId="9" r:id="rId4"/>
    <sheet name="Sheet4" sheetId="7" state="hidden" r:id="rId5"/>
    <sheet name="LoanProjectFinInfo2" sheetId="1" state="hidden" r:id="rId6"/>
    <sheet name="Sheet1" sheetId="4" state="hidden" r:id="rId7"/>
    <sheet name="LoanProjectFinInfo2 (2)" sheetId="2" state="hidden" r:id="rId8"/>
    <sheet name="Sheet2" sheetId="3" state="hidden" r:id="rId9"/>
  </sheets>
  <externalReferences>
    <externalReference r:id="rId10"/>
  </externalReferences>
  <definedNames>
    <definedName name="_xlnm._FilterDatabase" localSheetId="5" hidden="1">LoanProjectFinInfo2!$B$1:$B$80</definedName>
    <definedName name="_xlnm._FilterDatabase" localSheetId="7" hidden="1">'LoanProjectFinInfo2 (2)'!$C$1:$C$72</definedName>
    <definedName name="_xlnm._FilterDatabase" localSheetId="0" hidden="1">'LoanProjectFinInfo2 (ok)'!$A$1:$A$74</definedName>
    <definedName name="_xlnm._FilterDatabase" localSheetId="8" hidden="1">Sheet2!#REF!</definedName>
    <definedName name="_xlnm.Extract" localSheetId="8">Sheet2!$A:$A</definedName>
    <definedName name="_xlnm.Print_Titles" localSheetId="1">Sheet3!$6:$7</definedName>
    <definedName name="_xlnm.Print_Titles" localSheetId="2">'Sheet3 (2)'!$6:$7</definedName>
    <definedName name="_xlnm.Print_Titles" localSheetId="3">'Sheet3 (3)'!$6:$7</definedName>
  </definedNames>
  <calcPr calcId="152511"/>
</workbook>
</file>

<file path=xl/calcChain.xml><?xml version="1.0" encoding="utf-8"?>
<calcChain xmlns="http://schemas.openxmlformats.org/spreadsheetml/2006/main">
  <c r="G9" i="8" l="1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8" i="8"/>
  <c r="E27" i="8"/>
  <c r="D27" i="8"/>
  <c r="C27" i="8"/>
  <c r="B27" i="8"/>
  <c r="B9" i="8"/>
  <c r="C9" i="8"/>
  <c r="D9" i="8"/>
  <c r="F9" i="8"/>
  <c r="B10" i="8"/>
  <c r="C10" i="8"/>
  <c r="F10" i="8" s="1"/>
  <c r="D10" i="8"/>
  <c r="B11" i="8"/>
  <c r="C11" i="8"/>
  <c r="F11" i="8" s="1"/>
  <c r="D11" i="8"/>
  <c r="B12" i="8"/>
  <c r="C12" i="8"/>
  <c r="D12" i="8"/>
  <c r="B13" i="8"/>
  <c r="C13" i="8"/>
  <c r="D13" i="8"/>
  <c r="F13" i="8"/>
  <c r="B14" i="8"/>
  <c r="C14" i="8"/>
  <c r="D14" i="8"/>
  <c r="B15" i="8"/>
  <c r="C15" i="8"/>
  <c r="F15" i="8" s="1"/>
  <c r="D15" i="8"/>
  <c r="B16" i="8"/>
  <c r="C16" i="8"/>
  <c r="D16" i="8"/>
  <c r="B17" i="8"/>
  <c r="C17" i="8"/>
  <c r="D17" i="8"/>
  <c r="F17" i="8"/>
  <c r="B18" i="8"/>
  <c r="C18" i="8"/>
  <c r="F18" i="8" s="1"/>
  <c r="D18" i="8"/>
  <c r="B19" i="8"/>
  <c r="C19" i="8"/>
  <c r="D19" i="8"/>
  <c r="B20" i="8"/>
  <c r="C20" i="8"/>
  <c r="F20" i="8" s="1"/>
  <c r="D20" i="8"/>
  <c r="B21" i="8"/>
  <c r="C21" i="8"/>
  <c r="D21" i="8"/>
  <c r="F21" i="8"/>
  <c r="B22" i="8"/>
  <c r="C22" i="8"/>
  <c r="F22" i="8" s="1"/>
  <c r="D22" i="8"/>
  <c r="B23" i="8"/>
  <c r="C23" i="8"/>
  <c r="D23" i="8"/>
  <c r="B24" i="8"/>
  <c r="C24" i="8"/>
  <c r="D24" i="8"/>
  <c r="B25" i="8"/>
  <c r="C25" i="8"/>
  <c r="D25" i="8"/>
  <c r="F25" i="8"/>
  <c r="B26" i="8"/>
  <c r="C26" i="8"/>
  <c r="F26" i="8" s="1"/>
  <c r="D26" i="8"/>
  <c r="F8" i="8"/>
  <c r="D8" i="8"/>
  <c r="C8" i="8"/>
  <c r="B8" i="8"/>
  <c r="F16" i="8" l="1"/>
  <c r="F23" i="8"/>
  <c r="F12" i="8"/>
  <c r="F24" i="8"/>
  <c r="F19" i="8"/>
  <c r="F14" i="8"/>
  <c r="F27" i="8" l="1"/>
  <c r="D18" i="6" l="1"/>
  <c r="C18" i="6"/>
  <c r="B18" i="6"/>
  <c r="D20" i="6"/>
  <c r="C20" i="6"/>
  <c r="B20" i="6"/>
  <c r="D13" i="6"/>
  <c r="C13" i="6"/>
  <c r="B13" i="6"/>
  <c r="D15" i="6"/>
  <c r="C15" i="6"/>
  <c r="B15" i="6"/>
  <c r="D22" i="6"/>
  <c r="C22" i="6"/>
  <c r="B22" i="6"/>
  <c r="D8" i="6"/>
  <c r="C8" i="6"/>
  <c r="B8" i="6"/>
  <c r="D24" i="6"/>
  <c r="C24" i="6"/>
  <c r="B24" i="6"/>
  <c r="D23" i="6"/>
  <c r="C23" i="6"/>
  <c r="B23" i="6"/>
  <c r="D10" i="6"/>
  <c r="C10" i="6"/>
  <c r="B10" i="6"/>
  <c r="D9" i="6"/>
  <c r="C9" i="6"/>
  <c r="B9" i="6"/>
  <c r="D19" i="6"/>
  <c r="C19" i="6"/>
  <c r="B19" i="6"/>
  <c r="D17" i="6"/>
  <c r="C17" i="6"/>
  <c r="B17" i="6"/>
  <c r="D12" i="6"/>
  <c r="C12" i="6"/>
  <c r="B12" i="6"/>
  <c r="D11" i="6"/>
  <c r="C11" i="6"/>
  <c r="B11" i="6"/>
  <c r="D26" i="6"/>
  <c r="C26" i="6"/>
  <c r="B26" i="6"/>
  <c r="D14" i="6"/>
  <c r="C14" i="6"/>
  <c r="B14" i="6"/>
  <c r="D16" i="6"/>
  <c r="C16" i="6"/>
  <c r="B16" i="6"/>
  <c r="M3" i="5"/>
  <c r="M2" i="5"/>
  <c r="D25" i="6"/>
  <c r="C25" i="6"/>
  <c r="B25" i="6"/>
  <c r="B21" i="6"/>
  <c r="C21" i="6"/>
  <c r="D21" i="6"/>
  <c r="D27" i="6" l="1"/>
  <c r="E17" i="6"/>
  <c r="F17" i="6" s="1"/>
  <c r="E21" i="6"/>
  <c r="F21" i="6" s="1"/>
  <c r="E19" i="6"/>
  <c r="F19" i="6" s="1"/>
  <c r="E24" i="6"/>
  <c r="E13" i="6"/>
  <c r="F13" i="6" s="1"/>
  <c r="E11" i="6"/>
  <c r="F11" i="6" s="1"/>
  <c r="E9" i="6"/>
  <c r="F9" i="6" s="1"/>
  <c r="E8" i="6"/>
  <c r="F8" i="6" s="1"/>
  <c r="C27" i="6"/>
  <c r="E14" i="6"/>
  <c r="F14" i="6" s="1"/>
  <c r="F24" i="6"/>
  <c r="E16" i="6"/>
  <c r="F16" i="6" s="1"/>
  <c r="E12" i="6"/>
  <c r="F12" i="6" s="1"/>
  <c r="E10" i="6"/>
  <c r="F10" i="6" s="1"/>
  <c r="E22" i="6"/>
  <c r="F22" i="6" s="1"/>
  <c r="E20" i="6"/>
  <c r="F20" i="6" s="1"/>
  <c r="E18" i="6"/>
  <c r="F18" i="6" s="1"/>
  <c r="E25" i="6"/>
  <c r="F25" i="6" s="1"/>
  <c r="E26" i="6"/>
  <c r="F26" i="6" s="1"/>
  <c r="E23" i="6"/>
  <c r="F23" i="6" s="1"/>
  <c r="E15" i="6"/>
  <c r="F15" i="6" s="1"/>
  <c r="B27" i="6"/>
  <c r="E27" i="6" l="1"/>
  <c r="F27" i="6" s="1"/>
  <c r="I73" i="5"/>
  <c r="H73" i="5"/>
  <c r="G73" i="5"/>
  <c r="F74" i="5" l="1"/>
  <c r="I74" i="5"/>
  <c r="R6" i="5"/>
  <c r="S6" i="5" s="1"/>
  <c r="R4" i="5"/>
  <c r="R3" i="5" l="1"/>
  <c r="J20" i="5" l="1"/>
  <c r="J15" i="5"/>
  <c r="J65" i="5"/>
  <c r="M20" i="5" s="1"/>
  <c r="N20" i="5" s="1"/>
  <c r="J59" i="5"/>
  <c r="J2" i="5"/>
  <c r="M19" i="5" s="1"/>
  <c r="N19" i="5" s="1"/>
  <c r="J70" i="5"/>
  <c r="J6" i="5"/>
  <c r="J64" i="5"/>
  <c r="J63" i="5"/>
  <c r="J54" i="5"/>
  <c r="J53" i="5"/>
  <c r="J52" i="5"/>
  <c r="J69" i="5"/>
  <c r="J51" i="5"/>
  <c r="J41" i="5"/>
  <c r="J50" i="5"/>
  <c r="J40" i="5"/>
  <c r="J11" i="5"/>
  <c r="J5" i="5"/>
  <c r="J60" i="5"/>
  <c r="M18" i="5" s="1"/>
  <c r="N18" i="5" s="1"/>
  <c r="J14" i="5"/>
  <c r="J49" i="5"/>
  <c r="J39" i="5"/>
  <c r="J10" i="5"/>
  <c r="J62" i="5"/>
  <c r="J13" i="5"/>
  <c r="J48" i="5"/>
  <c r="J19" i="5"/>
  <c r="J47" i="5"/>
  <c r="J46" i="5"/>
  <c r="J9" i="5"/>
  <c r="J45" i="5"/>
  <c r="J44" i="5"/>
  <c r="J68" i="5"/>
  <c r="J38" i="5"/>
  <c r="J37" i="5"/>
  <c r="J36" i="5"/>
  <c r="J43" i="5"/>
  <c r="J61" i="5"/>
  <c r="F34" i="5"/>
  <c r="J18" i="5"/>
  <c r="J66" i="5"/>
  <c r="M14" i="5" s="1"/>
  <c r="N14" i="5" s="1"/>
  <c r="J8" i="5"/>
  <c r="J67" i="5"/>
  <c r="M13" i="5" s="1"/>
  <c r="N13" i="5" s="1"/>
  <c r="J22" i="5"/>
  <c r="M12" i="5" s="1"/>
  <c r="N12" i="5" s="1"/>
  <c r="J58" i="5"/>
  <c r="J42" i="5"/>
  <c r="J24" i="5"/>
  <c r="J17" i="5"/>
  <c r="J12" i="5"/>
  <c r="J16" i="5"/>
  <c r="J23" i="5"/>
  <c r="J7" i="5"/>
  <c r="J35" i="5"/>
  <c r="J4" i="5"/>
  <c r="J32" i="5"/>
  <c r="J31" i="5"/>
  <c r="J21" i="5"/>
  <c r="M5" i="5" s="1"/>
  <c r="N5" i="5" s="1"/>
  <c r="J57" i="5"/>
  <c r="J56" i="5"/>
  <c r="J30" i="5"/>
  <c r="J3" i="5"/>
  <c r="J29" i="5"/>
  <c r="J28" i="5"/>
  <c r="J27" i="5"/>
  <c r="J26" i="5"/>
  <c r="J55" i="5"/>
  <c r="J25" i="5"/>
  <c r="M16" i="5" l="1"/>
  <c r="N16" i="5" s="1"/>
  <c r="M17" i="5"/>
  <c r="N17" i="5" s="1"/>
  <c r="M9" i="5"/>
  <c r="N9" i="5" s="1"/>
  <c r="M6" i="5"/>
  <c r="N6" i="5" s="1"/>
  <c r="M8" i="5"/>
  <c r="N8" i="5" s="1"/>
  <c r="M4" i="5"/>
  <c r="N4" i="5" s="1"/>
  <c r="M10" i="5"/>
  <c r="N10" i="5" s="1"/>
  <c r="M11" i="5"/>
  <c r="N11" i="5" s="1"/>
  <c r="M7" i="5"/>
  <c r="N7" i="5" s="1"/>
  <c r="N2" i="5"/>
  <c r="J34" i="5"/>
  <c r="M15" i="5" s="1"/>
  <c r="N15" i="5" s="1"/>
  <c r="N3" i="5"/>
  <c r="G74" i="5" l="1"/>
  <c r="J71" i="5"/>
  <c r="V72" i="2" l="1"/>
  <c r="U72" i="2"/>
  <c r="T72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S30" i="2"/>
  <c r="S72" i="2" s="1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W2" i="2"/>
  <c r="W30" i="2" l="1"/>
  <c r="S73" i="2"/>
  <c r="V73" i="2" s="1"/>
  <c r="W3" i="1" l="1"/>
  <c r="W4" i="1"/>
  <c r="W5" i="1"/>
  <c r="W6" i="1"/>
  <c r="W7" i="1"/>
  <c r="W8" i="1"/>
  <c r="W9" i="1"/>
  <c r="W10" i="1"/>
  <c r="W11" i="1"/>
  <c r="W12" i="1"/>
  <c r="Z5" i="1" s="1"/>
  <c r="AA5" i="1" s="1"/>
  <c r="W13" i="1"/>
  <c r="W14" i="1"/>
  <c r="W15" i="1"/>
  <c r="W16" i="1"/>
  <c r="W17" i="1"/>
  <c r="W18" i="1"/>
  <c r="W19" i="1"/>
  <c r="W20" i="1"/>
  <c r="W21" i="1"/>
  <c r="W22" i="1"/>
  <c r="W23" i="1"/>
  <c r="W24" i="1"/>
  <c r="W26" i="1"/>
  <c r="Z12" i="1" s="1"/>
  <c r="AA12" i="1" s="1"/>
  <c r="W27" i="1"/>
  <c r="Z13" i="1" s="1"/>
  <c r="AA13" i="1" s="1"/>
  <c r="W28" i="1"/>
  <c r="W29" i="1"/>
  <c r="Z14" i="1" s="1"/>
  <c r="AA14" i="1" s="1"/>
  <c r="W30" i="1"/>
  <c r="W32" i="1"/>
  <c r="Z16" i="1" s="1"/>
  <c r="AA16" i="1" s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2" i="1"/>
  <c r="Z18" i="1" s="1"/>
  <c r="AA18" i="1" s="1"/>
  <c r="W53" i="1"/>
  <c r="W54" i="1"/>
  <c r="W55" i="1"/>
  <c r="W56" i="1"/>
  <c r="W57" i="1"/>
  <c r="W59" i="1"/>
  <c r="W60" i="1"/>
  <c r="W61" i="1"/>
  <c r="W62" i="1"/>
  <c r="W66" i="1"/>
  <c r="W67" i="1"/>
  <c r="W69" i="1"/>
  <c r="W70" i="1"/>
  <c r="W71" i="1"/>
  <c r="W72" i="1"/>
  <c r="Z19" i="1" s="1"/>
  <c r="AA19" i="1" s="1"/>
  <c r="W73" i="1"/>
  <c r="W74" i="1"/>
  <c r="Z20" i="1" s="1"/>
  <c r="AA20" i="1" s="1"/>
  <c r="W75" i="1"/>
  <c r="W76" i="1"/>
  <c r="W2" i="1"/>
  <c r="V79" i="1"/>
  <c r="U79" i="1"/>
  <c r="T79" i="1"/>
  <c r="Z8" i="1" l="1"/>
  <c r="AA8" i="1" s="1"/>
  <c r="Z2" i="1"/>
  <c r="AA2" i="1" s="1"/>
  <c r="Z7" i="1"/>
  <c r="AA7" i="1" s="1"/>
  <c r="Z10" i="1"/>
  <c r="AA10" i="1" s="1"/>
  <c r="Z6" i="1"/>
  <c r="AA6" i="1" s="1"/>
  <c r="Z4" i="1"/>
  <c r="AA4" i="1" s="1"/>
  <c r="Z17" i="1"/>
  <c r="AA17" i="1" s="1"/>
  <c r="Z11" i="1"/>
  <c r="AA11" i="1" s="1"/>
  <c r="Z9" i="1"/>
  <c r="AA9" i="1" s="1"/>
  <c r="Z3" i="1"/>
  <c r="AA3" i="1" s="1"/>
  <c r="S80" i="1"/>
  <c r="V80" i="1" s="1"/>
  <c r="S31" i="1" l="1"/>
  <c r="S79" i="1" l="1"/>
  <c r="W31" i="1"/>
  <c r="W77" i="1" l="1"/>
  <c r="Z15" i="1"/>
  <c r="AA15" i="1" s="1"/>
</calcChain>
</file>

<file path=xl/sharedStrings.xml><?xml version="1.0" encoding="utf-8"?>
<sst xmlns="http://schemas.openxmlformats.org/spreadsheetml/2006/main" count="2291" uniqueCount="299">
  <si>
    <t>Loan ID</t>
  </si>
  <si>
    <t>IA</t>
  </si>
  <si>
    <t>Sector</t>
  </si>
  <si>
    <t>Subsector</t>
  </si>
  <si>
    <t>8435-PH</t>
  </si>
  <si>
    <t>Third Philippines Development Policy Loan to Foster More Inclusive Growth (DPL 3)</t>
  </si>
  <si>
    <t>WB</t>
  </si>
  <si>
    <t>Program</t>
  </si>
  <si>
    <t>DOF</t>
  </si>
  <si>
    <t>Governance and Institutions Development</t>
  </si>
  <si>
    <t>Economic Governance</t>
  </si>
  <si>
    <t>NATIONWIDE</t>
  </si>
  <si>
    <t>Newly Signed</t>
  </si>
  <si>
    <t>2662-PHI</t>
  </si>
  <si>
    <t>Social Protection Support Project</t>
  </si>
  <si>
    <t>ADB</t>
  </si>
  <si>
    <t>DSWD</t>
  </si>
  <si>
    <t>Social Reform and Community Development</t>
  </si>
  <si>
    <t>Social Welfare and Community Development</t>
  </si>
  <si>
    <t>Nationwide</t>
  </si>
  <si>
    <t>Ongoing</t>
  </si>
  <si>
    <t>3080-PHI</t>
  </si>
  <si>
    <t>Emergency Assistance for Relief and Recovery from Typhoon Yolanda</t>
  </si>
  <si>
    <t>Public Safety and Disaster Management</t>
  </si>
  <si>
    <t>3111-PHI</t>
  </si>
  <si>
    <t>Local Government Finance and Fiscal Decentralization Reform Program Subprogram 1</t>
  </si>
  <si>
    <t>Political Governance</t>
  </si>
  <si>
    <t>Closed</t>
  </si>
  <si>
    <t>PH-C24</t>
  </si>
  <si>
    <t>Development Policy Support Program-Investment Climate</t>
  </si>
  <si>
    <t>GOJ-JICA</t>
  </si>
  <si>
    <t>Industry, Trade and Tourism</t>
  </si>
  <si>
    <t>PH-SB1</t>
  </si>
  <si>
    <t>Post Disaster Stand-by Loan</t>
  </si>
  <si>
    <t>767-PH</t>
  </si>
  <si>
    <t>Rapid Food Production Enhancement Programme</t>
  </si>
  <si>
    <t>Others</t>
  </si>
  <si>
    <t>IFAD</t>
  </si>
  <si>
    <t>DA</t>
  </si>
  <si>
    <t>Agriculture, Natural Resources and Agrarian Reform</t>
  </si>
  <si>
    <t>Agriculture and Agrarian Reform</t>
  </si>
  <si>
    <t>MULTI-REGIONAL</t>
  </si>
  <si>
    <t>Multi-Regional</t>
  </si>
  <si>
    <t>V,VI,VIII,X</t>
  </si>
  <si>
    <t>8238-PH</t>
  </si>
  <si>
    <t>Second Development Policy Loan to Foster More Inclusive Growth</t>
  </si>
  <si>
    <t>PH-7805</t>
  </si>
  <si>
    <t>Social Welfare and Development Reform</t>
  </si>
  <si>
    <t>PH-8218</t>
  </si>
  <si>
    <t>Social Welfare and Development Reform Project (Additional Financing)</t>
  </si>
  <si>
    <t>8344-PH</t>
  </si>
  <si>
    <t>Learning, Equity, and Accountability Program Support (LEAPS)</t>
  </si>
  <si>
    <t>DepEd</t>
  </si>
  <si>
    <t>Education Infrastructure</t>
  </si>
  <si>
    <t>V, VIII, IX, CAR, CARAGA</t>
  </si>
  <si>
    <t>PH-8085</t>
  </si>
  <si>
    <t>Disaster Risk Management Development Policy Loan with a Catastrophe Deferred Drawdown Option (CAT-DDO)</t>
  </si>
  <si>
    <t>8328-PH</t>
  </si>
  <si>
    <t>Second Development Policy Loan to Foster More Inclusive Growth: Supplemental Financing for Post Typhoon Recovery</t>
  </si>
  <si>
    <t>8421-PH</t>
  </si>
  <si>
    <t>Philippine Rural Development Project</t>
  </si>
  <si>
    <t>Project</t>
  </si>
  <si>
    <t>Newly Effective</t>
  </si>
  <si>
    <t>8444-PH</t>
  </si>
  <si>
    <t>Cebu Bus Rapid Transit Project</t>
  </si>
  <si>
    <t>DOTC</t>
  </si>
  <si>
    <t>Infrastructure</t>
  </si>
  <si>
    <t>Transportation</t>
  </si>
  <si>
    <t>VISAYAS</t>
  </si>
  <si>
    <t>VII</t>
  </si>
  <si>
    <t>2465-PHI</t>
  </si>
  <si>
    <t>Agrarian Reform Communities Project II</t>
  </si>
  <si>
    <t>DAR</t>
  </si>
  <si>
    <t>IVB, V, VI, VIII, IX</t>
  </si>
  <si>
    <t>2507-PHI</t>
  </si>
  <si>
    <t>Philippine Energy Efficiency Project</t>
  </si>
  <si>
    <t>DOE</t>
  </si>
  <si>
    <t>Energy, Power and Electrification</t>
  </si>
  <si>
    <t>2957-PHI</t>
  </si>
  <si>
    <t>Integrated Natural Resources and Environmental Management Project</t>
  </si>
  <si>
    <t>DENR</t>
  </si>
  <si>
    <t>Environment and Natural Resources</t>
  </si>
  <si>
    <t>CAR,VII,X,ARMM</t>
  </si>
  <si>
    <t>2515-PHI</t>
  </si>
  <si>
    <t>Credit for Better Health Care Project</t>
  </si>
  <si>
    <t>DBP</t>
  </si>
  <si>
    <t>Health, Population and Nutrition</t>
  </si>
  <si>
    <t>2311-PHI</t>
  </si>
  <si>
    <t>Integrated Coastal Resources Management Project</t>
  </si>
  <si>
    <t>II,III, V, VII, XI</t>
  </si>
  <si>
    <t>8261-PHI</t>
  </si>
  <si>
    <t>Market Transformation Thru Introduction of Energy Efficient Electric Vehicles Project</t>
  </si>
  <si>
    <t>NCR, VI, IVB, III, XI</t>
  </si>
  <si>
    <t>2836-PHI</t>
  </si>
  <si>
    <t>Road Improvement and Institution Development Project</t>
  </si>
  <si>
    <t>DPWH</t>
  </si>
  <si>
    <t>I,III,IVA,IVB,V,XI,CARAGA</t>
  </si>
  <si>
    <t>3100-PHI</t>
  </si>
  <si>
    <t>KALAHI-CIDSS National Community Driven Development Program</t>
  </si>
  <si>
    <t>II, III, IVA, IVB, V, VI, VII, VIII, IX, X, XI, XI</t>
  </si>
  <si>
    <t>2964-PHI</t>
  </si>
  <si>
    <t>Austria-7</t>
  </si>
  <si>
    <t>Bureau of Fire Protection Capability Building Program for Selected Priority Cities Project</t>
  </si>
  <si>
    <t>Austria</t>
  </si>
  <si>
    <t>DILG</t>
  </si>
  <si>
    <t>CHI-7</t>
  </si>
  <si>
    <t>Angat Water Utilization and Aqueduct Improvement Project (AWUAIP)-Phase II</t>
  </si>
  <si>
    <t>China</t>
  </si>
  <si>
    <t>CHINA</t>
  </si>
  <si>
    <t>MWSS</t>
  </si>
  <si>
    <t>Water Resources</t>
  </si>
  <si>
    <t>LUZON</t>
  </si>
  <si>
    <t>III</t>
  </si>
  <si>
    <t>FRANCE-2</t>
  </si>
  <si>
    <t>Tulay ng Pangulo Para sa Kaunlarang Pang-agraryo Project</t>
  </si>
  <si>
    <t>OTHERS</t>
  </si>
  <si>
    <t>FRANCE</t>
  </si>
  <si>
    <t>Social Infrastructure</t>
  </si>
  <si>
    <t>200665240</t>
  </si>
  <si>
    <t>Provincial Towns Water Supply Programme III</t>
  </si>
  <si>
    <t>Germany</t>
  </si>
  <si>
    <t>LWUA</t>
  </si>
  <si>
    <t>I,II,IVA,V,VI,IX,X</t>
  </si>
  <si>
    <t>KfW-02</t>
  </si>
  <si>
    <t>Community Based Forest and Mangrove Management Project</t>
  </si>
  <si>
    <t>VI, VII</t>
  </si>
  <si>
    <t>A-200665109</t>
  </si>
  <si>
    <t>Health Sector Reform Project</t>
  </si>
  <si>
    <t>DOH</t>
  </si>
  <si>
    <t>II,V,VII,VIII,IX,X,XI,CAR</t>
  </si>
  <si>
    <t>AI-2001 65 951</t>
  </si>
  <si>
    <t>Credit Line for Energy Efficiency and Climate Protection in the Philippines (CLEECP)</t>
  </si>
  <si>
    <t>LBP</t>
  </si>
  <si>
    <t>PH-P241</t>
  </si>
  <si>
    <t>Pinatubo Hazard Urgent Mitigation Project III</t>
  </si>
  <si>
    <t>PH-P257</t>
  </si>
  <si>
    <t>Maritime Safety Capability Improvement Project for the Philippine Coast Guard</t>
  </si>
  <si>
    <t>PH-P256</t>
  </si>
  <si>
    <t>New Bohol Airport Construction and Sustainable Environment Protection Project</t>
  </si>
  <si>
    <t>PH-P255</t>
  </si>
  <si>
    <t>Capacity Enhancement of Mass Transit Systems in Metro Manila</t>
  </si>
  <si>
    <t>NCR</t>
  </si>
  <si>
    <t>PH-P254</t>
  </si>
  <si>
    <t>National Irrigation Sector Rehabilitation and Improvement Project (NISRIP)</t>
  </si>
  <si>
    <t>NIA</t>
  </si>
  <si>
    <t>I, III, IV-A, IV-B, VI, X, XI, XII, XIII</t>
  </si>
  <si>
    <t>PH-P253</t>
  </si>
  <si>
    <t>Flood Risk Management Project in Cagayan River, Tagoloan River, and Imus River</t>
  </si>
  <si>
    <t>II, IV-A, X</t>
  </si>
  <si>
    <t>PH-P252</t>
  </si>
  <si>
    <t>Pasig-Marikina River Channel Improvement Project Phase III</t>
  </si>
  <si>
    <t>PH-P251</t>
  </si>
  <si>
    <t>Mindanao Sustainable Agrarian and Agriculture Development Project (MINSAAD)</t>
  </si>
  <si>
    <t>X,XI,XII</t>
  </si>
  <si>
    <t>PH-P250</t>
  </si>
  <si>
    <t>Arterial Road Bypass Project, Phase II  (ARBP II)</t>
  </si>
  <si>
    <t>PH-P249</t>
  </si>
  <si>
    <t>Central Luzon Link Expressway Project</t>
  </si>
  <si>
    <t>PH-P248</t>
  </si>
  <si>
    <t>Forestland Management Project</t>
  </si>
  <si>
    <t>CAR, II, III, VI</t>
  </si>
  <si>
    <t>PH-P247</t>
  </si>
  <si>
    <t>Road Upgrading and Preservation Project</t>
  </si>
  <si>
    <t>I, III, IV-A, IV-B, V, XI, XIII</t>
  </si>
  <si>
    <t>PH-P245</t>
  </si>
  <si>
    <t>Logistics Infrastructure Development Project</t>
  </si>
  <si>
    <t>PH-P244</t>
  </si>
  <si>
    <t>Agriculture Credit Support Project</t>
  </si>
  <si>
    <t>PH-P242</t>
  </si>
  <si>
    <t>Agrarian Reform Infrastructure Support Project III</t>
  </si>
  <si>
    <t>PH-P228</t>
  </si>
  <si>
    <t>New Communications, Navigation and Surveillance/Air Traffic Management Systems Dev't</t>
  </si>
  <si>
    <t>PH-P239</t>
  </si>
  <si>
    <t>Pasig Marikina River Channel Improvement Project (Phase II)</t>
  </si>
  <si>
    <t>PH-P243</t>
  </si>
  <si>
    <t>Environmental Development Project</t>
  </si>
  <si>
    <t>Urban Infrastructure</t>
  </si>
  <si>
    <t>I-890-PH</t>
  </si>
  <si>
    <t>CAR, VII, X, ARMM</t>
  </si>
  <si>
    <t>IFAD-661-PH</t>
  </si>
  <si>
    <t>Rural Micro-Enterprise Promotion Programme</t>
  </si>
  <si>
    <t>DTI</t>
  </si>
  <si>
    <t>CAR,V,VIII,XII,CARAGA</t>
  </si>
  <si>
    <t>749-PH</t>
  </si>
  <si>
    <t>Second Cordillera Highland Agricultural Resource Management Project</t>
  </si>
  <si>
    <t>CAR</t>
  </si>
  <si>
    <t>Italy-1</t>
  </si>
  <si>
    <t>Italian Assistance to the Agrarian Reform Community Development Support Program (IARCDSP)</t>
  </si>
  <si>
    <t>Italy</t>
  </si>
  <si>
    <t>MINDANAO</t>
  </si>
  <si>
    <t>Mindanao Wide</t>
  </si>
  <si>
    <t>XII, ARMM</t>
  </si>
  <si>
    <t>PHL-5</t>
  </si>
  <si>
    <t>Laguindingan Airport Development Project</t>
  </si>
  <si>
    <t>Korea</t>
  </si>
  <si>
    <t>X</t>
  </si>
  <si>
    <t>PHL-10</t>
  </si>
  <si>
    <t>Gapan-San Fernando-Olongapo Road Project, Phase II</t>
  </si>
  <si>
    <t>PHL-11</t>
  </si>
  <si>
    <t>Puerto Princesa Airport Development Project</t>
  </si>
  <si>
    <t>IVB</t>
  </si>
  <si>
    <t>PHL-13</t>
  </si>
  <si>
    <t>Laguindingan Airport Air-Navigation System and Support Facilities Supply Project</t>
  </si>
  <si>
    <t>PHL-14</t>
  </si>
  <si>
    <t>Samar Pacific Coastal Road Project</t>
  </si>
  <si>
    <t>VIII</t>
  </si>
  <si>
    <t>PHL-15</t>
  </si>
  <si>
    <t>Jalaur River Multipurpose Irrigation Project, Phase II</t>
  </si>
  <si>
    <t>Irrigation</t>
  </si>
  <si>
    <t>VI</t>
  </si>
  <si>
    <t>PHL-17</t>
  </si>
  <si>
    <t>Integrated Disaster Risk Reduction and Climate Change Adaptation Measures in Low Lying Areas of Pampanga</t>
  </si>
  <si>
    <t>PHL-9</t>
  </si>
  <si>
    <t>Bacolod-Silay Airport Access Road Project</t>
  </si>
  <si>
    <t>1446P</t>
  </si>
  <si>
    <t>Road Improvement and Institutional Development Project</t>
  </si>
  <si>
    <t>OFID</t>
  </si>
  <si>
    <t>1225P</t>
  </si>
  <si>
    <t>ARMM</t>
  </si>
  <si>
    <t>1224P</t>
  </si>
  <si>
    <t>PH-75520</t>
  </si>
  <si>
    <t>National Road Improvement Management Project Phase II</t>
  </si>
  <si>
    <t>8162-PH</t>
  </si>
  <si>
    <t>Metro Manila Wastewater Management Project</t>
  </si>
  <si>
    <t>8335-PH</t>
  </si>
  <si>
    <t>KALAHI-CIDSS National Community-Driven Development Project</t>
  </si>
  <si>
    <t>PH-4833</t>
  </si>
  <si>
    <t>Support for Strategic Local Development and Investment Project</t>
  </si>
  <si>
    <t>PH-7440</t>
  </si>
  <si>
    <t>Mindanao Rural Development Project-Phase 2</t>
  </si>
  <si>
    <t>IX, X, XI, XII, CARAGA, ARMM</t>
  </si>
  <si>
    <t>PH-7709</t>
  </si>
  <si>
    <t>Participatory Irrigation Development Project</t>
  </si>
  <si>
    <t>PH-79120</t>
  </si>
  <si>
    <t>ARMM Social Fund (Additional Financing)</t>
  </si>
  <si>
    <t>ARG</t>
  </si>
  <si>
    <t>PH-7959</t>
  </si>
  <si>
    <t>KALAHI-CIDSS Project (Additional Financing)</t>
  </si>
  <si>
    <t>CAR. IV, V, VI, VII, VIII, IX, X, XI, XII, XIII</t>
  </si>
  <si>
    <t>PH-8035</t>
  </si>
  <si>
    <t>Laguna de Bay Institutional Strengthening and Community Participation Project (LISCOP) -  Additional Financing</t>
  </si>
  <si>
    <t>LLDA</t>
  </si>
  <si>
    <t>IVA</t>
  </si>
  <si>
    <t>PH-8119</t>
  </si>
  <si>
    <t>Regional Infrastructure for Growth Project</t>
  </si>
  <si>
    <t>PH-7298</t>
  </si>
  <si>
    <t>Land Administration &amp; Management Project Phase II</t>
  </si>
  <si>
    <t>VIII, VII</t>
  </si>
  <si>
    <t>CAR, I, II, III, IV-A, IV-B, V, VI, VII, VIII, IX, X, XI, XII, XIII, ARMM</t>
  </si>
  <si>
    <t>CAR, I, II, III, IV-A, IV-B, V, VI, VII, VIII, IX, X, XI, XII, XIII</t>
  </si>
  <si>
    <t>Closing Date</t>
  </si>
  <si>
    <t>Effectivity Date</t>
  </si>
  <si>
    <t>Signing Date</t>
  </si>
  <si>
    <t>FI(Grpd)</t>
  </si>
  <si>
    <t>FI(Ind)</t>
  </si>
  <si>
    <t>Loan Type</t>
  </si>
  <si>
    <t>Region</t>
  </si>
  <si>
    <t>Revised 
Closing Date</t>
  </si>
  <si>
    <t>Max 
Closing Date</t>
  </si>
  <si>
    <t>Specific
Region</t>
  </si>
  <si>
    <t>Main
Region</t>
  </si>
  <si>
    <t>Loan Title</t>
  </si>
  <si>
    <t>Loan Status</t>
  </si>
  <si>
    <t>TPC (PhPM)</t>
  </si>
  <si>
    <t>See loan ID 749-PH</t>
  </si>
  <si>
    <t>See loan ID 2465-PHI</t>
  </si>
  <si>
    <t>See loan ID 2957-PHI</t>
  </si>
  <si>
    <t>See loan ID 8261-PHI</t>
  </si>
  <si>
    <t>See loan ID PHL-5</t>
  </si>
  <si>
    <t>See loan ID 2836-PHI</t>
  </si>
  <si>
    <t>See loan ID 3100-PHI</t>
  </si>
  <si>
    <t>NC (US$M)</t>
  </si>
  <si>
    <t>LP (PhPM)</t>
  </si>
  <si>
    <t>GP (PhPM)</t>
  </si>
  <si>
    <t>GPH (PhPM)</t>
  </si>
  <si>
    <t>GPH% of the TPC</t>
  </si>
  <si>
    <t>Average GPH Counterpart</t>
  </si>
  <si>
    <t>30% and Above</t>
  </si>
  <si>
    <t>20% - 29%</t>
  </si>
  <si>
    <t>1% - 19%</t>
  </si>
  <si>
    <t>None</t>
  </si>
  <si>
    <t>DOTC, DBP, DPWH, LWUA</t>
  </si>
  <si>
    <t>DSWD, DAR, DOE, NIA</t>
  </si>
  <si>
    <t>DA, DENR, DILG, MWSS, DOH, LBP, DTI, ARG, LLDA</t>
  </si>
  <si>
    <t>Program Loans  of DOF and DepEd</t>
  </si>
  <si>
    <t>- Training on basic tour guiding technique a</t>
  </si>
  <si>
    <t>Agency/Project</t>
  </si>
  <si>
    <t>Agency</t>
  </si>
  <si>
    <t>PROJECT COST (in PhP M)</t>
  </si>
  <si>
    <t>Share of
GPH to TPC
(in %)</t>
  </si>
  <si>
    <t>LP</t>
  </si>
  <si>
    <t>GP</t>
  </si>
  <si>
    <t>GPH</t>
  </si>
  <si>
    <t>TPC</t>
  </si>
  <si>
    <t>TOTAL</t>
  </si>
  <si>
    <t>Annex 2-B</t>
  </si>
  <si>
    <t>Share of Counterpart Funding to Total Project Cost per Agency</t>
  </si>
  <si>
    <t>CY 2014 ODA Portfolio Review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</si>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</sst>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b/>
      <sz val="11"/>
      <color rgb="FF7030A0"/>
      <name val="Calibri"/>
      <family val="2"/>
    </font>
    <font>
      <b/>
      <sz val="11"/>
      <color rgb="FFC00000"/>
      <name val="Calibri"/>
      <family val="2"/>
    </font>
    <font>
      <b/>
      <sz val="11"/>
      <color rgb="FFFF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1"/>
      <color theme="1"/>
      <name val="Century Gothic"/>
      <family val="2"/>
    </font>
    <font>
      <sz val="11"/>
      <color rgb="FF000000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3"/>
        <bgColor rgb="FFC0C0C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3" fillId="3" borderId="1" xfId="0" applyFont="1" applyFill="1" applyBorder="1" applyAlignment="1" applyProtection="1">
      <alignment vertical="top" wrapText="1"/>
    </xf>
    <xf numFmtId="0" fontId="2" fillId="3" borderId="1" xfId="0" applyFont="1" applyFill="1" applyBorder="1" applyAlignment="1" applyProtection="1">
      <alignment vertical="top" wrapText="1"/>
    </xf>
    <xf numFmtId="14" fontId="5" fillId="5" borderId="3" xfId="0" applyNumberFormat="1" applyFont="1" applyFill="1" applyBorder="1" applyAlignment="1" applyProtection="1">
      <alignment horizontal="right" vertical="top" wrapText="1"/>
    </xf>
    <xf numFmtId="14" fontId="0" fillId="0" borderId="0" xfId="0" applyNumberFormat="1" applyAlignment="1">
      <alignment vertical="top"/>
    </xf>
    <xf numFmtId="14" fontId="4" fillId="4" borderId="2" xfId="0" applyNumberFormat="1" applyFont="1" applyFill="1" applyBorder="1" applyAlignment="1" applyProtection="1">
      <alignment horizontal="right" vertical="top" wrapText="1"/>
    </xf>
    <xf numFmtId="0" fontId="7" fillId="3" borderId="1" xfId="0" applyFont="1" applyFill="1" applyBorder="1" applyAlignment="1" applyProtection="1">
      <alignment vertical="top" wrapText="1"/>
    </xf>
    <xf numFmtId="0" fontId="7" fillId="0" borderId="1" xfId="0" applyFont="1" applyFill="1" applyBorder="1" applyAlignment="1" applyProtection="1">
      <alignment vertical="top" wrapText="1"/>
    </xf>
    <xf numFmtId="0" fontId="3" fillId="3" borderId="4" xfId="0" applyFont="1" applyFill="1" applyBorder="1" applyAlignment="1" applyProtection="1">
      <alignment vertical="top" wrapText="1"/>
    </xf>
    <xf numFmtId="0" fontId="2" fillId="3" borderId="4" xfId="0" applyFont="1" applyFill="1" applyBorder="1" applyAlignment="1" applyProtection="1">
      <alignment vertical="top" wrapText="1"/>
    </xf>
    <xf numFmtId="14" fontId="5" fillId="5" borderId="4" xfId="0" applyNumberFormat="1" applyFont="1" applyFill="1" applyBorder="1" applyAlignment="1" applyProtection="1">
      <alignment horizontal="right" vertical="top" wrapText="1"/>
    </xf>
    <xf numFmtId="14" fontId="4" fillId="4" borderId="4" xfId="0" applyNumberFormat="1" applyFont="1" applyFill="1" applyBorder="1" applyAlignment="1" applyProtection="1">
      <alignment horizontal="right" vertical="top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14" fontId="1" fillId="2" borderId="0" xfId="0" applyNumberFormat="1" applyFont="1" applyFill="1" applyBorder="1" applyAlignment="1" applyProtection="1">
      <alignment horizontal="center" vertical="center"/>
    </xf>
    <xf numFmtId="14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1" applyFont="1"/>
    <xf numFmtId="43" fontId="2" fillId="3" borderId="0" xfId="1" applyFont="1" applyFill="1" applyBorder="1" applyAlignment="1" applyProtection="1">
      <alignment vertical="top" wrapText="1"/>
    </xf>
    <xf numFmtId="43" fontId="1" fillId="2" borderId="0" xfId="1" applyFont="1" applyFill="1" applyBorder="1" applyAlignment="1" applyProtection="1">
      <alignment horizontal="center" vertical="center" wrapText="1"/>
    </xf>
    <xf numFmtId="43" fontId="1" fillId="6" borderId="0" xfId="1" applyFont="1" applyFill="1" applyBorder="1" applyAlignment="1" applyProtection="1">
      <alignment horizontal="center" vertical="center"/>
    </xf>
    <xf numFmtId="43" fontId="8" fillId="7" borderId="0" xfId="0" applyNumberFormat="1" applyFont="1" applyFill="1" applyBorder="1" applyAlignment="1" applyProtection="1">
      <alignment vertical="top" wrapText="1"/>
    </xf>
    <xf numFmtId="43" fontId="9" fillId="8" borderId="0" xfId="1" applyFont="1" applyFill="1" applyBorder="1" applyAlignment="1" applyProtection="1">
      <alignment vertical="top" wrapText="1"/>
    </xf>
    <xf numFmtId="43" fontId="3" fillId="8" borderId="0" xfId="1" applyFont="1" applyFill="1" applyBorder="1" applyAlignment="1" applyProtection="1">
      <alignment vertical="top" wrapText="1"/>
    </xf>
    <xf numFmtId="43" fontId="8" fillId="8" borderId="0" xfId="1" applyFont="1" applyFill="1" applyBorder="1" applyAlignment="1" applyProtection="1">
      <alignment vertical="top" wrapText="1"/>
    </xf>
    <xf numFmtId="43" fontId="10" fillId="8" borderId="0" xfId="1" applyFont="1" applyFill="1" applyBorder="1" applyAlignment="1" applyProtection="1">
      <alignment vertical="top" wrapText="1"/>
    </xf>
    <xf numFmtId="43" fontId="11" fillId="8" borderId="0" xfId="1" applyFont="1" applyFill="1" applyBorder="1" applyAlignment="1" applyProtection="1">
      <alignment vertical="top" wrapText="1"/>
    </xf>
    <xf numFmtId="10" fontId="1" fillId="6" borderId="0" xfId="2" applyNumberFormat="1" applyFont="1" applyFill="1" applyBorder="1" applyAlignment="1" applyProtection="1">
      <alignment horizontal="center" vertical="center"/>
    </xf>
    <xf numFmtId="10" fontId="8" fillId="7" borderId="0" xfId="2" applyNumberFormat="1" applyFont="1" applyFill="1" applyBorder="1" applyAlignment="1" applyProtection="1">
      <alignment vertical="top" wrapText="1"/>
    </xf>
    <xf numFmtId="10" fontId="0" fillId="0" borderId="0" xfId="2" applyNumberFormat="1" applyFont="1"/>
    <xf numFmtId="0" fontId="3" fillId="3" borderId="4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10" fontId="1" fillId="2" borderId="0" xfId="2" applyNumberFormat="1" applyFont="1" applyFill="1" applyBorder="1" applyAlignment="1" applyProtection="1">
      <alignment horizontal="center" vertical="center"/>
    </xf>
    <xf numFmtId="10" fontId="3" fillId="3" borderId="0" xfId="2" applyNumberFormat="1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3" borderId="1" xfId="0" quotePrefix="1" applyFont="1" applyFill="1" applyBorder="1" applyAlignment="1" applyProtection="1">
      <alignment vertical="top" wrapText="1"/>
    </xf>
    <xf numFmtId="0" fontId="3" fillId="3" borderId="3" xfId="0" applyFont="1" applyFill="1" applyBorder="1" applyAlignment="1" applyProtection="1">
      <alignment vertical="top" wrapText="1"/>
    </xf>
    <xf numFmtId="43" fontId="8" fillId="7" borderId="0" xfId="1" applyFont="1" applyFill="1" applyBorder="1" applyAlignment="1" applyProtection="1">
      <alignment vertical="top" wrapText="1"/>
    </xf>
    <xf numFmtId="0" fontId="14" fillId="9" borderId="5" xfId="0" applyFont="1" applyFill="1" applyBorder="1" applyAlignment="1">
      <alignment horizontal="center" vertical="center"/>
    </xf>
    <xf numFmtId="4" fontId="15" fillId="0" borderId="5" xfId="0" applyNumberFormat="1" applyFont="1" applyBorder="1"/>
    <xf numFmtId="43" fontId="15" fillId="0" borderId="5" xfId="1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6" fillId="0" borderId="0" xfId="0" applyFont="1"/>
    <xf numFmtId="0" fontId="17" fillId="3" borderId="5" xfId="0" applyFont="1" applyFill="1" applyBorder="1" applyAlignment="1">
      <alignment vertical="top" wrapText="1"/>
    </xf>
    <xf numFmtId="0" fontId="18" fillId="0" borderId="5" xfId="0" applyFont="1" applyBorder="1"/>
    <xf numFmtId="4" fontId="18" fillId="0" borderId="5" xfId="0" applyNumberFormat="1" applyFont="1" applyBorder="1"/>
    <xf numFmtId="4" fontId="14" fillId="0" borderId="5" xfId="0" applyNumberFormat="1" applyFont="1" applyBorder="1"/>
    <xf numFmtId="43" fontId="14" fillId="0" borderId="5" xfId="1" applyFont="1" applyBorder="1" applyAlignment="1">
      <alignment horizontal="center" vertical="center"/>
    </xf>
    <xf numFmtId="0" fontId="18" fillId="0" borderId="0" xfId="0" applyFont="1"/>
    <xf numFmtId="0" fontId="14" fillId="0" borderId="0" xfId="0" applyFont="1" applyAlignment="1">
      <alignment horizontal="center"/>
    </xf>
    <xf numFmtId="0" fontId="2" fillId="5" borderId="4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43" fontId="19" fillId="0" borderId="5" xfId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9" borderId="7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0" fontId="14" fillId="9" borderId="8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 wrapText="1"/>
    </xf>
    <xf numFmtId="0" fontId="14" fillId="9" borderId="6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esktop/CY%202014%20Loans%20TPC%20(PhP)%200629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ProjectFinInfo2 (ok) (2)"/>
      <sheetName val="LoanProjectFinInfo2 (ok)"/>
      <sheetName val="LoanProjectFinInfo2"/>
      <sheetName val="Sheet3"/>
      <sheetName val="Sheet1"/>
      <sheetName val="LoanProjectFinInfo2 (2)"/>
      <sheetName val="Sheet2"/>
    </sheetNames>
    <sheetDataSet>
      <sheetData sheetId="0">
        <row r="1">
          <cell r="B1">
            <v>2</v>
          </cell>
          <cell r="G1">
            <v>7</v>
          </cell>
          <cell r="H1">
            <v>8</v>
          </cell>
          <cell r="O1">
            <v>15</v>
          </cell>
        </row>
        <row r="2">
          <cell r="B2" t="str">
            <v>IA</v>
          </cell>
          <cell r="G2" t="str">
            <v>LP (PhPM)</v>
          </cell>
          <cell r="H2" t="str">
            <v>GP (PhPM)</v>
          </cell>
          <cell r="O2" t="str">
            <v>GPH TOTAL</v>
          </cell>
        </row>
        <row r="3">
          <cell r="B3" t="str">
            <v>ARG</v>
          </cell>
          <cell r="G3">
            <v>1410</v>
          </cell>
          <cell r="H3">
            <v>0</v>
          </cell>
          <cell r="O3">
            <v>253</v>
          </cell>
        </row>
        <row r="4">
          <cell r="B4" t="str">
            <v>DA</v>
          </cell>
          <cell r="G4">
            <v>731</v>
          </cell>
          <cell r="H4">
            <v>651</v>
          </cell>
          <cell r="O4">
            <v>561</v>
          </cell>
        </row>
        <row r="5">
          <cell r="B5" t="str">
            <v>DA</v>
          </cell>
          <cell r="G5">
            <v>20551</v>
          </cell>
          <cell r="H5">
            <v>287</v>
          </cell>
          <cell r="O5">
            <v>6697</v>
          </cell>
        </row>
        <row r="6">
          <cell r="B6" t="str">
            <v>DA</v>
          </cell>
          <cell r="G6">
            <v>2018</v>
          </cell>
          <cell r="H6">
            <v>25</v>
          </cell>
          <cell r="O6">
            <v>220</v>
          </cell>
        </row>
        <row r="7">
          <cell r="B7" t="str">
            <v>DA</v>
          </cell>
          <cell r="G7">
            <v>4340</v>
          </cell>
          <cell r="H7">
            <v>440</v>
          </cell>
          <cell r="O7">
            <v>430</v>
          </cell>
        </row>
        <row r="8">
          <cell r="B8" t="str">
            <v>DAR</v>
          </cell>
          <cell r="G8">
            <v>4497.3500000000004</v>
          </cell>
          <cell r="H8">
            <v>0</v>
          </cell>
          <cell r="O8">
            <v>4149.8500000000004</v>
          </cell>
        </row>
        <row r="9">
          <cell r="B9" t="str">
            <v>DAR</v>
          </cell>
          <cell r="G9">
            <v>16511.09</v>
          </cell>
          <cell r="H9">
            <v>0</v>
          </cell>
          <cell r="O9">
            <v>1963.47</v>
          </cell>
        </row>
        <row r="10">
          <cell r="B10" t="str">
            <v>DAR</v>
          </cell>
          <cell r="G10">
            <v>3349.99</v>
          </cell>
          <cell r="H10">
            <v>0</v>
          </cell>
          <cell r="O10">
            <v>1052.74</v>
          </cell>
        </row>
        <row r="11">
          <cell r="B11" t="str">
            <v>DAR</v>
          </cell>
          <cell r="G11">
            <v>5973.56</v>
          </cell>
          <cell r="H11">
            <v>0</v>
          </cell>
          <cell r="O11">
            <v>1990.96</v>
          </cell>
        </row>
        <row r="12">
          <cell r="B12" t="str">
            <v>DAR</v>
          </cell>
          <cell r="G12">
            <v>1571.4</v>
          </cell>
          <cell r="H12">
            <v>81.307000000000002</v>
          </cell>
          <cell r="O12">
            <v>866.31</v>
          </cell>
        </row>
        <row r="13">
          <cell r="B13" t="str">
            <v>DBP</v>
          </cell>
          <cell r="G13">
            <v>1385.02</v>
          </cell>
          <cell r="H13">
            <v>17.98</v>
          </cell>
          <cell r="O13">
            <v>575.61</v>
          </cell>
        </row>
        <row r="14">
          <cell r="B14" t="str">
            <v>DBP</v>
          </cell>
          <cell r="G14">
            <v>16000</v>
          </cell>
          <cell r="H14">
            <v>160</v>
          </cell>
          <cell r="O14">
            <v>5404</v>
          </cell>
        </row>
        <row r="15">
          <cell r="B15" t="str">
            <v>DBP</v>
          </cell>
          <cell r="G15">
            <v>10100</v>
          </cell>
          <cell r="O15">
            <v>996</v>
          </cell>
        </row>
        <row r="16">
          <cell r="B16" t="str">
            <v>DBP</v>
          </cell>
          <cell r="G16">
            <v>1640</v>
          </cell>
          <cell r="H16">
            <v>0</v>
          </cell>
          <cell r="O16">
            <v>14798.34</v>
          </cell>
        </row>
        <row r="17">
          <cell r="B17" t="str">
            <v>DENR</v>
          </cell>
          <cell r="G17">
            <v>5160</v>
          </cell>
          <cell r="H17">
            <v>168.13</v>
          </cell>
          <cell r="O17">
            <v>658.33</v>
          </cell>
        </row>
        <row r="18">
          <cell r="B18" t="str">
            <v>DENR</v>
          </cell>
          <cell r="G18">
            <v>1026.78</v>
          </cell>
          <cell r="H18">
            <v>392.4</v>
          </cell>
          <cell r="O18">
            <v>851.07</v>
          </cell>
        </row>
        <row r="19">
          <cell r="B19" t="str">
            <v>DENR</v>
          </cell>
          <cell r="G19">
            <v>260</v>
          </cell>
          <cell r="H19">
            <v>195</v>
          </cell>
          <cell r="O19">
            <v>113.75</v>
          </cell>
        </row>
        <row r="20">
          <cell r="B20" t="str">
            <v>DENR</v>
          </cell>
          <cell r="G20">
            <v>4528.18</v>
          </cell>
          <cell r="H20">
            <v>0</v>
          </cell>
          <cell r="O20">
            <v>1109.27</v>
          </cell>
        </row>
        <row r="21">
          <cell r="B21" t="str">
            <v>DENR</v>
          </cell>
          <cell r="G21">
            <v>1044.74</v>
          </cell>
          <cell r="H21">
            <v>1062.1420000000001</v>
          </cell>
          <cell r="O21">
            <v>125.67</v>
          </cell>
        </row>
        <row r="22">
          <cell r="B22" t="str">
            <v>DepEd</v>
          </cell>
          <cell r="G22">
            <v>13443.710000000001</v>
          </cell>
          <cell r="H22">
            <v>0</v>
          </cell>
          <cell r="O22">
            <v>0</v>
          </cell>
        </row>
        <row r="23">
          <cell r="B23" t="str">
            <v>DILG</v>
          </cell>
          <cell r="G23">
            <v>1332.09</v>
          </cell>
          <cell r="H23">
            <v>0</v>
          </cell>
          <cell r="O23">
            <v>198.78</v>
          </cell>
        </row>
        <row r="24">
          <cell r="B24" t="str">
            <v>DOE</v>
          </cell>
          <cell r="G24">
            <v>1400.85</v>
          </cell>
          <cell r="H24">
            <v>0</v>
          </cell>
          <cell r="O24">
            <v>627.79999999999995</v>
          </cell>
        </row>
        <row r="25">
          <cell r="B25" t="str">
            <v>DOE</v>
          </cell>
          <cell r="G25">
            <v>17200</v>
          </cell>
          <cell r="H25">
            <v>215</v>
          </cell>
          <cell r="O25">
            <v>4257</v>
          </cell>
        </row>
        <row r="26">
          <cell r="B26" t="str">
            <v>DOF</v>
          </cell>
          <cell r="G26">
            <v>13443.710000000001</v>
          </cell>
          <cell r="H26">
            <v>0</v>
          </cell>
          <cell r="O26">
            <v>0</v>
          </cell>
        </row>
        <row r="27">
          <cell r="B27" t="str">
            <v>DOF</v>
          </cell>
          <cell r="G27">
            <v>22406.183333333334</v>
          </cell>
          <cell r="H27">
            <v>0</v>
          </cell>
          <cell r="O27">
            <v>0</v>
          </cell>
        </row>
        <row r="28">
          <cell r="B28" t="str">
            <v>DOF</v>
          </cell>
          <cell r="G28">
            <v>17924.946666666667</v>
          </cell>
          <cell r="H28">
            <v>0</v>
          </cell>
          <cell r="O28">
            <v>0</v>
          </cell>
        </row>
        <row r="29">
          <cell r="B29" t="str">
            <v>DOF</v>
          </cell>
          <cell r="G29">
            <v>3403.051124666667</v>
          </cell>
          <cell r="H29">
            <v>0</v>
          </cell>
          <cell r="O29">
            <v>0</v>
          </cell>
        </row>
        <row r="30">
          <cell r="B30" t="str">
            <v>DOF</v>
          </cell>
          <cell r="G30">
            <v>19642.604681000001</v>
          </cell>
          <cell r="H30">
            <v>0</v>
          </cell>
          <cell r="O30">
            <v>0</v>
          </cell>
        </row>
        <row r="31">
          <cell r="B31" t="str">
            <v>DOF</v>
          </cell>
          <cell r="G31">
            <v>13443.71</v>
          </cell>
          <cell r="H31">
            <v>0</v>
          </cell>
          <cell r="O31">
            <v>0</v>
          </cell>
        </row>
        <row r="32">
          <cell r="B32" t="str">
            <v>DOF</v>
          </cell>
          <cell r="G32">
            <v>22406.183333333334</v>
          </cell>
          <cell r="H32">
            <v>0</v>
          </cell>
          <cell r="O32">
            <v>0</v>
          </cell>
        </row>
        <row r="33">
          <cell r="B33" t="str">
            <v>DOF</v>
          </cell>
          <cell r="G33">
            <v>22406.183333333334</v>
          </cell>
          <cell r="H33">
            <v>0</v>
          </cell>
          <cell r="O33">
            <v>0</v>
          </cell>
        </row>
        <row r="34">
          <cell r="B34" t="str">
            <v>DOF</v>
          </cell>
          <cell r="O34">
            <v>0</v>
          </cell>
        </row>
        <row r="35">
          <cell r="B35" t="str">
            <v>DOH</v>
          </cell>
          <cell r="G35">
            <v>640</v>
          </cell>
          <cell r="H35">
            <v>0</v>
          </cell>
          <cell r="O35">
            <v>109.4</v>
          </cell>
        </row>
        <row r="36">
          <cell r="B36" t="str">
            <v>DOTC</v>
          </cell>
          <cell r="G36">
            <v>8392.1299999999992</v>
          </cell>
          <cell r="H36">
            <v>0</v>
          </cell>
          <cell r="O36">
            <v>1090.52</v>
          </cell>
        </row>
        <row r="37">
          <cell r="B37" t="str">
            <v>DOTC</v>
          </cell>
          <cell r="G37">
            <v>7938</v>
          </cell>
          <cell r="H37">
            <v>0</v>
          </cell>
          <cell r="O37">
            <v>1329</v>
          </cell>
        </row>
        <row r="38">
          <cell r="B38" t="str">
            <v>DOTC</v>
          </cell>
          <cell r="G38">
            <v>5862</v>
          </cell>
          <cell r="H38">
            <v>0</v>
          </cell>
          <cell r="O38">
            <v>1578</v>
          </cell>
        </row>
        <row r="39">
          <cell r="B39" t="str">
            <v>DOTC</v>
          </cell>
          <cell r="G39">
            <v>3112.83</v>
          </cell>
          <cell r="H39">
            <v>0</v>
          </cell>
          <cell r="O39">
            <v>6397.83</v>
          </cell>
        </row>
        <row r="40">
          <cell r="B40" t="str">
            <v>DOTC</v>
          </cell>
          <cell r="G40">
            <v>7860.86</v>
          </cell>
          <cell r="H40">
            <v>0</v>
          </cell>
          <cell r="O40">
            <v>3008.42</v>
          </cell>
        </row>
        <row r="41">
          <cell r="B41" t="str">
            <v>DOTC</v>
          </cell>
          <cell r="G41">
            <v>5016.6400000000003</v>
          </cell>
          <cell r="H41">
            <v>0</v>
          </cell>
          <cell r="O41">
            <v>2836.79</v>
          </cell>
        </row>
        <row r="42">
          <cell r="B42" t="str">
            <v>DOTC</v>
          </cell>
          <cell r="G42">
            <v>3132</v>
          </cell>
          <cell r="H42">
            <v>0</v>
          </cell>
          <cell r="O42">
            <v>1329</v>
          </cell>
        </row>
        <row r="43">
          <cell r="B43" t="str">
            <v>DPWH</v>
          </cell>
          <cell r="G43">
            <v>3956</v>
          </cell>
          <cell r="H43">
            <v>0</v>
          </cell>
          <cell r="O43">
            <v>2978.88</v>
          </cell>
        </row>
        <row r="44">
          <cell r="B44" t="str">
            <v>DPWH</v>
          </cell>
          <cell r="G44">
            <v>3794.48</v>
          </cell>
          <cell r="H44">
            <v>0</v>
          </cell>
          <cell r="O44">
            <v>1954.78</v>
          </cell>
        </row>
        <row r="45">
          <cell r="B45" t="str">
            <v>DPWH</v>
          </cell>
          <cell r="G45">
            <v>4169.0600000000004</v>
          </cell>
          <cell r="H45">
            <v>0</v>
          </cell>
          <cell r="O45">
            <v>1418.24</v>
          </cell>
        </row>
        <row r="46">
          <cell r="B46" t="str">
            <v>DPWH</v>
          </cell>
          <cell r="G46">
            <v>6539.48</v>
          </cell>
          <cell r="H46">
            <v>0</v>
          </cell>
          <cell r="O46">
            <v>1005.68</v>
          </cell>
        </row>
        <row r="47">
          <cell r="B47" t="str">
            <v>DPWH</v>
          </cell>
          <cell r="G47">
            <v>2537</v>
          </cell>
          <cell r="H47">
            <v>0</v>
          </cell>
          <cell r="O47">
            <v>804</v>
          </cell>
        </row>
        <row r="48">
          <cell r="B48" t="str">
            <v>DPWH</v>
          </cell>
          <cell r="G48">
            <v>10579</v>
          </cell>
          <cell r="H48">
            <v>0</v>
          </cell>
          <cell r="O48">
            <v>4534</v>
          </cell>
        </row>
        <row r="49">
          <cell r="B49" t="str">
            <v>DPWH</v>
          </cell>
          <cell r="G49">
            <v>21383.29</v>
          </cell>
          <cell r="H49">
            <v>0</v>
          </cell>
          <cell r="O49">
            <v>12773.33</v>
          </cell>
        </row>
        <row r="50">
          <cell r="B50" t="str">
            <v>DPWH</v>
          </cell>
          <cell r="G50">
            <v>4323.5200000000004</v>
          </cell>
          <cell r="H50">
            <v>0</v>
          </cell>
          <cell r="O50">
            <v>1217.99</v>
          </cell>
        </row>
        <row r="51">
          <cell r="B51" t="str">
            <v>DPWH</v>
          </cell>
          <cell r="G51">
            <v>1207.08</v>
          </cell>
          <cell r="H51">
            <v>0</v>
          </cell>
          <cell r="O51">
            <v>1014.97</v>
          </cell>
        </row>
        <row r="52">
          <cell r="B52" t="str">
            <v>DPWH</v>
          </cell>
          <cell r="G52">
            <v>875.25</v>
          </cell>
          <cell r="H52">
            <v>0</v>
          </cell>
          <cell r="O52">
            <v>157.46</v>
          </cell>
        </row>
        <row r="53">
          <cell r="B53" t="str">
            <v>DPWH</v>
          </cell>
          <cell r="G53">
            <v>3267.61</v>
          </cell>
          <cell r="H53">
            <v>0</v>
          </cell>
          <cell r="O53">
            <v>947.25</v>
          </cell>
        </row>
        <row r="54">
          <cell r="B54" t="str">
            <v>DPWH</v>
          </cell>
          <cell r="G54">
            <v>604.86</v>
          </cell>
          <cell r="H54">
            <v>0</v>
          </cell>
          <cell r="O54">
            <v>367.2</v>
          </cell>
        </row>
        <row r="55">
          <cell r="B55" t="str">
            <v>DPWH</v>
          </cell>
          <cell r="G55">
            <v>10284.61</v>
          </cell>
          <cell r="H55">
            <v>167.74</v>
          </cell>
          <cell r="O55">
            <v>18490.98</v>
          </cell>
        </row>
        <row r="56">
          <cell r="B56" t="str">
            <v>DSWD</v>
          </cell>
          <cell r="G56">
            <v>17230</v>
          </cell>
          <cell r="H56">
            <v>0</v>
          </cell>
          <cell r="O56">
            <v>4552</v>
          </cell>
        </row>
        <row r="57">
          <cell r="B57" t="str">
            <v>DSWD</v>
          </cell>
          <cell r="G57">
            <v>17413</v>
          </cell>
          <cell r="H57">
            <v>0</v>
          </cell>
          <cell r="O57">
            <v>4601</v>
          </cell>
        </row>
        <row r="58">
          <cell r="B58" t="str">
            <v>DSWD</v>
          </cell>
          <cell r="G58">
            <v>4339</v>
          </cell>
          <cell r="H58">
            <v>0</v>
          </cell>
          <cell r="O58">
            <v>1446</v>
          </cell>
        </row>
        <row r="59">
          <cell r="B59" t="str">
            <v>DSWD</v>
          </cell>
          <cell r="G59">
            <v>34555</v>
          </cell>
          <cell r="H59">
            <v>0</v>
          </cell>
          <cell r="O59">
            <v>9389</v>
          </cell>
        </row>
        <row r="60">
          <cell r="B60" t="str">
            <v>DSWD</v>
          </cell>
          <cell r="G60">
            <v>2800.17</v>
          </cell>
          <cell r="H60">
            <v>0</v>
          </cell>
          <cell r="O60">
            <v>676.91</v>
          </cell>
        </row>
        <row r="61">
          <cell r="B61" t="str">
            <v>DTI</v>
          </cell>
          <cell r="G61">
            <v>1044.8900000000001</v>
          </cell>
          <cell r="H61">
            <v>29.77</v>
          </cell>
          <cell r="O61">
            <v>204.68</v>
          </cell>
        </row>
        <row r="62">
          <cell r="B62" t="str">
            <v>LBP</v>
          </cell>
          <cell r="G62">
            <v>1377.16</v>
          </cell>
          <cell r="H62">
            <v>0</v>
          </cell>
          <cell r="O62">
            <v>344.29</v>
          </cell>
        </row>
        <row r="63">
          <cell r="B63" t="str">
            <v>LBP</v>
          </cell>
          <cell r="G63">
            <v>7770</v>
          </cell>
          <cell r="H63">
            <v>0</v>
          </cell>
          <cell r="O63">
            <v>1925</v>
          </cell>
        </row>
        <row r="64">
          <cell r="B64" t="str">
            <v>LBP</v>
          </cell>
          <cell r="G64">
            <v>11968</v>
          </cell>
          <cell r="H64">
            <v>0</v>
          </cell>
          <cell r="O64">
            <v>5075.67</v>
          </cell>
        </row>
        <row r="65">
          <cell r="B65" t="str">
            <v>LBP</v>
          </cell>
          <cell r="G65">
            <v>5128</v>
          </cell>
          <cell r="H65">
            <v>875.86</v>
          </cell>
          <cell r="O65">
            <v>0</v>
          </cell>
        </row>
        <row r="66">
          <cell r="B66" t="str">
            <v>LLDA</v>
          </cell>
          <cell r="G66">
            <v>520</v>
          </cell>
          <cell r="H66">
            <v>0</v>
          </cell>
          <cell r="O66">
            <v>113.4</v>
          </cell>
        </row>
        <row r="67">
          <cell r="B67" t="str">
            <v>LWUA</v>
          </cell>
          <cell r="G67">
            <v>652.79999999999995</v>
          </cell>
          <cell r="H67">
            <v>0</v>
          </cell>
          <cell r="O67">
            <v>610.5</v>
          </cell>
        </row>
        <row r="68">
          <cell r="B68" t="str">
            <v>MWSS</v>
          </cell>
          <cell r="G68">
            <v>5537.4480000000003</v>
          </cell>
          <cell r="H68">
            <v>0</v>
          </cell>
          <cell r="O68">
            <v>552.01</v>
          </cell>
        </row>
        <row r="69">
          <cell r="B69" t="str">
            <v>NIA</v>
          </cell>
          <cell r="G69">
            <v>3417.98</v>
          </cell>
          <cell r="H69">
            <v>0</v>
          </cell>
          <cell r="O69">
            <v>589.16</v>
          </cell>
        </row>
        <row r="70">
          <cell r="B70" t="str">
            <v>NIA</v>
          </cell>
          <cell r="G70">
            <v>8950.58</v>
          </cell>
          <cell r="H70">
            <v>0</v>
          </cell>
          <cell r="O70">
            <v>2261.56</v>
          </cell>
        </row>
        <row r="71">
          <cell r="B71" t="str">
            <v>NIA</v>
          </cell>
          <cell r="G71">
            <v>3166.0349999999999</v>
          </cell>
          <cell r="H71">
            <v>0</v>
          </cell>
          <cell r="O71">
            <v>1945.403</v>
          </cell>
        </row>
        <row r="72">
          <cell r="O72">
            <v>147530.25300000003</v>
          </cell>
        </row>
        <row r="74">
          <cell r="G74">
            <v>511897.0954723332</v>
          </cell>
          <cell r="H74">
            <v>4768.3289999999997</v>
          </cell>
        </row>
        <row r="75">
          <cell r="G75">
            <v>77.520832676868665</v>
          </cell>
        </row>
        <row r="76">
          <cell r="B76" t="str">
            <v>IA</v>
          </cell>
        </row>
        <row r="77">
          <cell r="B77" t="str">
            <v>ARG</v>
          </cell>
        </row>
        <row r="78">
          <cell r="B78" t="str">
            <v>DA</v>
          </cell>
        </row>
        <row r="79">
          <cell r="B79" t="str">
            <v>DAR</v>
          </cell>
          <cell r="H79" t="str">
            <v>Fund Source</v>
          </cell>
        </row>
        <row r="80">
          <cell r="B80" t="str">
            <v>DBP</v>
          </cell>
          <cell r="H80" t="str">
            <v>ODA</v>
          </cell>
        </row>
        <row r="81">
          <cell r="B81" t="str">
            <v>DENR</v>
          </cell>
          <cell r="H81" t="str">
            <v>Loan Proceeds</v>
          </cell>
        </row>
        <row r="82">
          <cell r="B82" t="str">
            <v>DepEd</v>
          </cell>
          <cell r="H82" t="str">
            <v>Grant Proceeds</v>
          </cell>
        </row>
        <row r="83">
          <cell r="B83" t="str">
            <v>DILG</v>
          </cell>
          <cell r="H83" t="str">
            <v>GPH Counterpart</v>
          </cell>
        </row>
        <row r="84">
          <cell r="B84" t="str">
            <v>DOE</v>
          </cell>
          <cell r="H84" t="str">
            <v>National Government</v>
          </cell>
        </row>
        <row r="85">
          <cell r="B85" t="str">
            <v>DOF</v>
          </cell>
          <cell r="H85" t="str">
            <v>Local Government Unit</v>
          </cell>
        </row>
        <row r="86">
          <cell r="B86" t="str">
            <v>DOH</v>
          </cell>
          <cell r="H86" t="str">
            <v>Private Sector Equity</v>
          </cell>
        </row>
        <row r="87">
          <cell r="B87" t="str">
            <v>DOTC</v>
          </cell>
          <cell r="H87" t="str">
            <v>Total</v>
          </cell>
        </row>
        <row r="88">
          <cell r="B88" t="str">
            <v>DPWH</v>
          </cell>
        </row>
        <row r="89">
          <cell r="B89" t="str">
            <v>DSWD</v>
          </cell>
        </row>
        <row r="90">
          <cell r="B90" t="str">
            <v>DTI</v>
          </cell>
          <cell r="H90" t="str">
            <v>Fund Source</v>
          </cell>
        </row>
        <row r="91">
          <cell r="B91" t="str">
            <v>LBP</v>
          </cell>
          <cell r="H91" t="str">
            <v>ODA</v>
          </cell>
        </row>
        <row r="92">
          <cell r="B92" t="str">
            <v>LLDA</v>
          </cell>
          <cell r="H92" t="str">
            <v>Loan Proceeds</v>
          </cell>
        </row>
        <row r="93">
          <cell r="B93" t="str">
            <v>LWUA</v>
          </cell>
          <cell r="H93" t="str">
            <v>Grant Proceeds</v>
          </cell>
        </row>
        <row r="94">
          <cell r="B94" t="str">
            <v>MWSS</v>
          </cell>
          <cell r="H94" t="str">
            <v>GPH Counterpart</v>
          </cell>
        </row>
        <row r="95">
          <cell r="B95" t="str">
            <v>NIA</v>
          </cell>
          <cell r="H95" t="str">
            <v>National Government</v>
          </cell>
        </row>
        <row r="96">
          <cell r="H96" t="str">
            <v>Local Government Unit</v>
          </cell>
        </row>
        <row r="97">
          <cell r="H97" t="str">
            <v>Private Sector Equity</v>
          </cell>
        </row>
        <row r="98">
          <cell r="H98" t="str">
            <v>Total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opLeftCell="G1" zoomScale="130" zoomScaleNormal="130" workbookViewId="0">
      <selection activeCell="M3" sqref="M3"/>
    </sheetView>
  </sheetViews>
  <sheetFormatPr defaultRowHeight="15" x14ac:dyDescent="0.25"/>
  <cols>
    <col min="1" max="1" width="37.140625" customWidth="1"/>
    <col min="2" max="2" width="14" customWidth="1"/>
    <col min="3" max="4" width="12.28515625" customWidth="1"/>
    <col min="5" max="5" width="11" customWidth="1"/>
    <col min="6" max="9" width="20" style="19" customWidth="1"/>
    <col min="10" max="10" width="20" style="31" customWidth="1"/>
    <col min="11" max="11" width="9.140625" customWidth="1"/>
    <col min="12" max="12" width="12.28515625" customWidth="1"/>
    <col min="13" max="13" width="25.5703125" style="31" customWidth="1"/>
    <col min="14" max="14" width="18.140625" customWidth="1"/>
    <col min="15" max="15" width="19.42578125" customWidth="1"/>
    <col min="16" max="16" width="26.5703125" customWidth="1"/>
    <col min="17" max="17" width="9.140625" customWidth="1"/>
    <col min="18" max="18" width="11.5703125" customWidth="1"/>
    <col min="19" max="20" width="9.140625" customWidth="1"/>
  </cols>
  <sheetData>
    <row r="1" spans="1:19" s="18" customFormat="1" ht="32.25" customHeight="1" x14ac:dyDescent="0.25">
      <c r="A1" s="14" t="s">
        <v>286</v>
      </c>
      <c r="B1" s="14" t="s">
        <v>1</v>
      </c>
      <c r="C1" s="14" t="s">
        <v>253</v>
      </c>
      <c r="D1" s="14" t="s">
        <v>254</v>
      </c>
      <c r="E1" s="14" t="s">
        <v>255</v>
      </c>
      <c r="F1" s="22" t="s">
        <v>263</v>
      </c>
      <c r="G1" s="22" t="s">
        <v>272</v>
      </c>
      <c r="H1" s="22" t="s">
        <v>273</v>
      </c>
      <c r="I1" s="22" t="s">
        <v>274</v>
      </c>
      <c r="J1" s="29" t="s">
        <v>275</v>
      </c>
      <c r="L1" s="14" t="s">
        <v>1</v>
      </c>
      <c r="M1" s="34" t="s">
        <v>276</v>
      </c>
    </row>
    <row r="2" spans="1:19" ht="30" customHeight="1" x14ac:dyDescent="0.25">
      <c r="A2" s="10" t="s">
        <v>234</v>
      </c>
      <c r="B2" s="10" t="s">
        <v>235</v>
      </c>
      <c r="C2" s="10" t="s">
        <v>6</v>
      </c>
      <c r="D2" s="10" t="s">
        <v>6</v>
      </c>
      <c r="E2" s="10" t="s">
        <v>61</v>
      </c>
      <c r="F2" s="24">
        <v>1663</v>
      </c>
      <c r="G2" s="24">
        <v>1410</v>
      </c>
      <c r="H2" s="24">
        <v>0</v>
      </c>
      <c r="I2" s="24">
        <v>253</v>
      </c>
      <c r="J2" s="30">
        <f t="shared" ref="J2:J32" si="0">I2/F2</f>
        <v>0.15213469633193025</v>
      </c>
      <c r="L2" s="32" t="s">
        <v>8</v>
      </c>
      <c r="M2" s="35">
        <f t="shared" ref="M2:M20" si="1">AVERAGEIF($B:$B,L2,$J:$J)</f>
        <v>0</v>
      </c>
      <c r="N2" t="str">
        <f>IF(M2&gt;30%,"30% and Above",IF(AND(M2&gt;20.01%,M2&lt;29.99%),"20% - 29%",IF(AND(M2&gt;1.01%,M2&lt;19.99%),"1% - 19%","None")))</f>
        <v>None</v>
      </c>
      <c r="O2" s="36" t="s">
        <v>277</v>
      </c>
      <c r="P2" s="36" t="s">
        <v>281</v>
      </c>
      <c r="R2">
        <v>450</v>
      </c>
      <c r="S2">
        <v>44.812366666666669</v>
      </c>
    </row>
    <row r="3" spans="1:19" ht="30" customHeight="1" x14ac:dyDescent="0.25">
      <c r="A3" s="3" t="s">
        <v>35</v>
      </c>
      <c r="B3" s="3" t="s">
        <v>38</v>
      </c>
      <c r="C3" s="3" t="s">
        <v>36</v>
      </c>
      <c r="D3" s="3" t="s">
        <v>37</v>
      </c>
      <c r="E3" s="3" t="s">
        <v>7</v>
      </c>
      <c r="F3" s="25">
        <v>1943</v>
      </c>
      <c r="G3" s="25">
        <v>731</v>
      </c>
      <c r="H3" s="25">
        <v>651</v>
      </c>
      <c r="I3" s="25">
        <v>560.72</v>
      </c>
      <c r="J3" s="30">
        <f t="shared" si="0"/>
        <v>0.2885846628924344</v>
      </c>
      <c r="L3" s="33" t="s">
        <v>16</v>
      </c>
      <c r="M3" s="35">
        <f t="shared" si="1"/>
        <v>0.21524846853300333</v>
      </c>
      <c r="N3" t="str">
        <f t="shared" ref="N3:N20" si="2">IF(M3&gt;30%,"30% and Above",IF(AND(M3&gt;20.01%,M3&lt;29.99%),"20% - 29%",IF(AND(M3&gt;1.01%,M3&lt;19.99%),"1% - 19%","None")))</f>
        <v>20% - 29%</v>
      </c>
      <c r="O3" s="36" t="s">
        <v>278</v>
      </c>
      <c r="P3" s="36" t="s">
        <v>282</v>
      </c>
      <c r="R3">
        <f>R2*S2</f>
        <v>20165.565000000002</v>
      </c>
    </row>
    <row r="4" spans="1:19" ht="30" customHeight="1" x14ac:dyDescent="0.25">
      <c r="A4" s="3" t="s">
        <v>60</v>
      </c>
      <c r="B4" s="3" t="s">
        <v>38</v>
      </c>
      <c r="C4" s="3" t="s">
        <v>6</v>
      </c>
      <c r="D4" s="4" t="s">
        <v>6</v>
      </c>
      <c r="E4" s="3" t="s">
        <v>61</v>
      </c>
      <c r="F4" s="25">
        <v>27535</v>
      </c>
      <c r="G4" s="25">
        <v>20551</v>
      </c>
      <c r="H4" s="25">
        <v>287</v>
      </c>
      <c r="I4" s="25">
        <v>6696.9400000000005</v>
      </c>
      <c r="J4" s="30">
        <f t="shared" si="0"/>
        <v>0.24321554385327768</v>
      </c>
      <c r="L4" s="33" t="s">
        <v>38</v>
      </c>
      <c r="M4" s="35">
        <f t="shared" si="1"/>
        <v>0.17788747021007004</v>
      </c>
      <c r="N4" t="str">
        <f t="shared" si="2"/>
        <v>1% - 19%</v>
      </c>
      <c r="O4" s="36" t="s">
        <v>279</v>
      </c>
      <c r="P4" s="36" t="s">
        <v>283</v>
      </c>
      <c r="R4" s="19">
        <f>300*S2</f>
        <v>13443.710000000001</v>
      </c>
    </row>
    <row r="5" spans="1:19" ht="30" customHeight="1" x14ac:dyDescent="0.25">
      <c r="A5" s="3" t="s">
        <v>184</v>
      </c>
      <c r="B5" s="3" t="s">
        <v>38</v>
      </c>
      <c r="C5" s="3" t="s">
        <v>115</v>
      </c>
      <c r="D5" s="3" t="s">
        <v>37</v>
      </c>
      <c r="E5" s="3" t="s">
        <v>61</v>
      </c>
      <c r="F5" s="25">
        <v>2263</v>
      </c>
      <c r="G5" s="25">
        <v>2018</v>
      </c>
      <c r="H5" s="25">
        <v>25</v>
      </c>
      <c r="I5" s="25">
        <v>220</v>
      </c>
      <c r="J5" s="30">
        <f t="shared" si="0"/>
        <v>9.7216084843128589E-2</v>
      </c>
      <c r="L5" s="33" t="s">
        <v>52</v>
      </c>
      <c r="M5" s="35">
        <f t="shared" si="1"/>
        <v>0</v>
      </c>
      <c r="N5" t="str">
        <f t="shared" si="2"/>
        <v>None</v>
      </c>
      <c r="O5" s="36" t="s">
        <v>280</v>
      </c>
      <c r="P5" s="36" t="s">
        <v>284</v>
      </c>
    </row>
    <row r="6" spans="1:19" ht="33.75" customHeight="1" x14ac:dyDescent="0.25">
      <c r="A6" s="3" t="s">
        <v>229</v>
      </c>
      <c r="B6" s="3" t="s">
        <v>38</v>
      </c>
      <c r="C6" s="3" t="s">
        <v>6</v>
      </c>
      <c r="D6" s="3" t="s">
        <v>6</v>
      </c>
      <c r="E6" s="3" t="s">
        <v>61</v>
      </c>
      <c r="F6" s="25">
        <v>5210</v>
      </c>
      <c r="G6" s="25">
        <v>4340</v>
      </c>
      <c r="H6" s="25">
        <v>440</v>
      </c>
      <c r="I6" s="25">
        <v>430</v>
      </c>
      <c r="J6" s="30">
        <f t="shared" si="0"/>
        <v>8.253358925143954E-2</v>
      </c>
      <c r="L6" s="33" t="s">
        <v>65</v>
      </c>
      <c r="M6" s="35">
        <f t="shared" si="1"/>
        <v>0.31053632171701334</v>
      </c>
      <c r="N6" t="str">
        <f t="shared" si="2"/>
        <v>30% and Above</v>
      </c>
      <c r="R6">
        <f>250+150</f>
        <v>400</v>
      </c>
      <c r="S6">
        <f>R6*S2</f>
        <v>17924.946666666667</v>
      </c>
    </row>
    <row r="7" spans="1:19" ht="15" customHeight="1" x14ac:dyDescent="0.25">
      <c r="A7" s="3" t="s">
        <v>71</v>
      </c>
      <c r="B7" s="3" t="s">
        <v>72</v>
      </c>
      <c r="C7" s="3" t="s">
        <v>15</v>
      </c>
      <c r="D7" s="3" t="s">
        <v>15</v>
      </c>
      <c r="E7" s="3" t="s">
        <v>61</v>
      </c>
      <c r="F7" s="25">
        <v>8647.2099999999991</v>
      </c>
      <c r="G7" s="25">
        <v>4497.3500000000004</v>
      </c>
      <c r="H7" s="25">
        <v>0</v>
      </c>
      <c r="I7" s="25">
        <v>4149.8559999999998</v>
      </c>
      <c r="J7" s="30">
        <f t="shared" si="0"/>
        <v>0.4799069295183071</v>
      </c>
      <c r="L7" s="33" t="s">
        <v>72</v>
      </c>
      <c r="M7" s="35">
        <f t="shared" si="1"/>
        <v>0.28384401486356542</v>
      </c>
      <c r="N7" t="str">
        <f t="shared" si="2"/>
        <v>20% - 29%</v>
      </c>
    </row>
    <row r="8" spans="1:19" ht="30" customHeight="1" x14ac:dyDescent="0.25">
      <c r="A8" s="3" t="s">
        <v>114</v>
      </c>
      <c r="B8" s="3" t="s">
        <v>72</v>
      </c>
      <c r="C8" s="3" t="s">
        <v>115</v>
      </c>
      <c r="D8" s="3" t="s">
        <v>116</v>
      </c>
      <c r="E8" s="3" t="s">
        <v>61</v>
      </c>
      <c r="F8" s="25">
        <v>18474.560000000001</v>
      </c>
      <c r="G8" s="25">
        <v>16511.09</v>
      </c>
      <c r="H8" s="25">
        <v>0</v>
      </c>
      <c r="I8" s="25">
        <v>1963.47</v>
      </c>
      <c r="J8" s="30">
        <f t="shared" si="0"/>
        <v>0.10627966241144579</v>
      </c>
      <c r="L8" s="33" t="s">
        <v>76</v>
      </c>
      <c r="M8" s="35">
        <f t="shared" si="1"/>
        <v>0.25294772913725172</v>
      </c>
      <c r="N8" t="str">
        <f t="shared" si="2"/>
        <v>20% - 29%</v>
      </c>
    </row>
    <row r="9" spans="1:19" ht="30" customHeight="1" x14ac:dyDescent="0.25">
      <c r="A9" s="3" t="s">
        <v>152</v>
      </c>
      <c r="B9" s="3" t="s">
        <v>72</v>
      </c>
      <c r="C9" s="3" t="s">
        <v>30</v>
      </c>
      <c r="D9" s="3" t="s">
        <v>30</v>
      </c>
      <c r="E9" s="3" t="s">
        <v>61</v>
      </c>
      <c r="F9" s="25">
        <v>4402.74</v>
      </c>
      <c r="G9" s="25">
        <v>3349.99</v>
      </c>
      <c r="H9" s="25">
        <v>0</v>
      </c>
      <c r="I9" s="25">
        <v>1052.74</v>
      </c>
      <c r="J9" s="30">
        <f t="shared" si="0"/>
        <v>0.23911019047229681</v>
      </c>
      <c r="L9" s="33" t="s">
        <v>80</v>
      </c>
      <c r="M9" s="35">
        <f t="shared" si="1"/>
        <v>0.18758116834884597</v>
      </c>
      <c r="N9" t="str">
        <f t="shared" si="2"/>
        <v>1% - 19%</v>
      </c>
    </row>
    <row r="10" spans="1:19" ht="30" customHeight="1" x14ac:dyDescent="0.25">
      <c r="A10" s="3" t="s">
        <v>169</v>
      </c>
      <c r="B10" s="3" t="s">
        <v>72</v>
      </c>
      <c r="C10" s="3" t="s">
        <v>30</v>
      </c>
      <c r="D10" s="3" t="s">
        <v>30</v>
      </c>
      <c r="E10" s="3" t="s">
        <v>61</v>
      </c>
      <c r="F10" s="25">
        <v>7964.5129999999999</v>
      </c>
      <c r="G10" s="25">
        <v>5973.56</v>
      </c>
      <c r="H10" s="25">
        <v>0</v>
      </c>
      <c r="I10" s="25">
        <v>1990.96</v>
      </c>
      <c r="J10" s="30">
        <f t="shared" si="0"/>
        <v>0.24997887504232841</v>
      </c>
      <c r="L10" s="33" t="s">
        <v>85</v>
      </c>
      <c r="M10" s="35">
        <f t="shared" si="1"/>
        <v>0.35987775483711337</v>
      </c>
      <c r="N10" t="str">
        <f t="shared" si="2"/>
        <v>30% and Above</v>
      </c>
    </row>
    <row r="11" spans="1:19" ht="30" customHeight="1" x14ac:dyDescent="0.25">
      <c r="A11" s="3" t="s">
        <v>187</v>
      </c>
      <c r="B11" s="3" t="s">
        <v>72</v>
      </c>
      <c r="C11" s="3" t="s">
        <v>36</v>
      </c>
      <c r="D11" s="3" t="s">
        <v>188</v>
      </c>
      <c r="E11" s="3" t="s">
        <v>61</v>
      </c>
      <c r="F11" s="25">
        <v>2518.75</v>
      </c>
      <c r="G11" s="25">
        <v>1571.4</v>
      </c>
      <c r="H11" s="25">
        <v>81.307000000000002</v>
      </c>
      <c r="I11" s="25">
        <v>866.31</v>
      </c>
      <c r="J11" s="30">
        <f t="shared" si="0"/>
        <v>0.34394441687344912</v>
      </c>
      <c r="L11" s="33" t="s">
        <v>95</v>
      </c>
      <c r="M11" s="35">
        <f t="shared" si="1"/>
        <v>0.31859083916609648</v>
      </c>
      <c r="N11" t="str">
        <f t="shared" si="2"/>
        <v>30% and Above</v>
      </c>
    </row>
    <row r="12" spans="1:19" ht="30" customHeight="1" x14ac:dyDescent="0.25">
      <c r="A12" s="3" t="s">
        <v>84</v>
      </c>
      <c r="B12" s="3" t="s">
        <v>85</v>
      </c>
      <c r="C12" s="3" t="s">
        <v>15</v>
      </c>
      <c r="D12" s="3" t="s">
        <v>15</v>
      </c>
      <c r="E12" s="3" t="s">
        <v>61</v>
      </c>
      <c r="F12" s="25">
        <v>1751.37</v>
      </c>
      <c r="G12" s="25">
        <v>1385.02</v>
      </c>
      <c r="H12" s="25">
        <v>17.98</v>
      </c>
      <c r="I12" s="25">
        <v>348.37</v>
      </c>
      <c r="J12" s="30">
        <f t="shared" si="0"/>
        <v>0.19891285108229559</v>
      </c>
      <c r="L12" s="33" t="s">
        <v>104</v>
      </c>
      <c r="M12" s="35">
        <f t="shared" si="1"/>
        <v>0.129846885451505</v>
      </c>
      <c r="N12" t="str">
        <f t="shared" si="2"/>
        <v>1% - 19%</v>
      </c>
    </row>
    <row r="13" spans="1:19" ht="30" customHeight="1" x14ac:dyDescent="0.25">
      <c r="A13" s="3" t="s">
        <v>165</v>
      </c>
      <c r="B13" s="3" t="s">
        <v>85</v>
      </c>
      <c r="C13" s="3" t="s">
        <v>30</v>
      </c>
      <c r="D13" s="3" t="s">
        <v>30</v>
      </c>
      <c r="E13" s="3" t="s">
        <v>61</v>
      </c>
      <c r="F13" s="25">
        <v>21564</v>
      </c>
      <c r="G13" s="25">
        <v>16000</v>
      </c>
      <c r="H13" s="25">
        <v>160</v>
      </c>
      <c r="I13" s="25">
        <v>5404</v>
      </c>
      <c r="J13" s="30">
        <f t="shared" si="0"/>
        <v>0.25060285661287329</v>
      </c>
      <c r="L13" s="33" t="s">
        <v>109</v>
      </c>
      <c r="M13" s="35">
        <f t="shared" si="1"/>
        <v>9.0648612867092776E-2</v>
      </c>
      <c r="N13" t="str">
        <f t="shared" si="2"/>
        <v>1% - 19%</v>
      </c>
    </row>
    <row r="14" spans="1:19" ht="45" customHeight="1" x14ac:dyDescent="0.25">
      <c r="A14" s="3" t="s">
        <v>175</v>
      </c>
      <c r="B14" s="3" t="s">
        <v>85</v>
      </c>
      <c r="C14" s="3" t="s">
        <v>30</v>
      </c>
      <c r="D14" s="3" t="s">
        <v>30</v>
      </c>
      <c r="E14" s="3" t="s">
        <v>61</v>
      </c>
      <c r="F14" s="25">
        <v>11096</v>
      </c>
      <c r="G14" s="25">
        <v>10100</v>
      </c>
      <c r="H14" s="25"/>
      <c r="I14" s="25">
        <v>996</v>
      </c>
      <c r="J14" s="30">
        <f t="shared" si="0"/>
        <v>8.9762076423936549E-2</v>
      </c>
      <c r="L14" s="33" t="s">
        <v>121</v>
      </c>
      <c r="M14" s="35">
        <f t="shared" si="1"/>
        <v>0.48325813345998575</v>
      </c>
      <c r="N14" t="str">
        <f t="shared" si="2"/>
        <v>30% and Above</v>
      </c>
    </row>
    <row r="15" spans="1:19" ht="30" x14ac:dyDescent="0.25">
      <c r="A15" s="3" t="s">
        <v>244</v>
      </c>
      <c r="B15" s="3" t="s">
        <v>85</v>
      </c>
      <c r="C15" s="3" t="s">
        <v>6</v>
      </c>
      <c r="D15" s="3" t="s">
        <v>6</v>
      </c>
      <c r="E15" s="3" t="s">
        <v>61</v>
      </c>
      <c r="F15" s="25">
        <v>16438.34</v>
      </c>
      <c r="G15" s="25">
        <v>1640</v>
      </c>
      <c r="H15" s="25">
        <v>0</v>
      </c>
      <c r="I15" s="25">
        <v>14798.34</v>
      </c>
      <c r="J15" s="30">
        <f t="shared" si="0"/>
        <v>0.90023323522934795</v>
      </c>
      <c r="L15" s="33" t="s">
        <v>128</v>
      </c>
      <c r="M15" s="35">
        <f t="shared" si="1"/>
        <v>0.14598377290283901</v>
      </c>
      <c r="N15" t="str">
        <f t="shared" si="2"/>
        <v>1% - 19%</v>
      </c>
    </row>
    <row r="16" spans="1:19" ht="15" customHeight="1" x14ac:dyDescent="0.25">
      <c r="A16" s="3" t="s">
        <v>79</v>
      </c>
      <c r="B16" s="3" t="s">
        <v>80</v>
      </c>
      <c r="C16" s="3" t="s">
        <v>15</v>
      </c>
      <c r="D16" s="3" t="s">
        <v>15</v>
      </c>
      <c r="E16" s="3" t="s">
        <v>61</v>
      </c>
      <c r="F16" s="25">
        <v>5986.46</v>
      </c>
      <c r="G16" s="25">
        <v>5160</v>
      </c>
      <c r="H16" s="25">
        <v>168.13</v>
      </c>
      <c r="I16" s="25">
        <v>658.33</v>
      </c>
      <c r="J16" s="30">
        <f t="shared" si="0"/>
        <v>0.10996983192070106</v>
      </c>
      <c r="L16" s="33" t="s">
        <v>132</v>
      </c>
      <c r="M16" s="35">
        <f t="shared" si="1"/>
        <v>0.17408994368827352</v>
      </c>
      <c r="N16" t="str">
        <f t="shared" si="2"/>
        <v>1% - 19%</v>
      </c>
    </row>
    <row r="17" spans="1:14" ht="30" customHeight="1" x14ac:dyDescent="0.25">
      <c r="A17" s="3" t="s">
        <v>88</v>
      </c>
      <c r="B17" s="3" t="s">
        <v>80</v>
      </c>
      <c r="C17" s="3" t="s">
        <v>15</v>
      </c>
      <c r="D17" s="3" t="s">
        <v>15</v>
      </c>
      <c r="E17" s="3" t="s">
        <v>61</v>
      </c>
      <c r="F17" s="25">
        <v>2270.25</v>
      </c>
      <c r="G17" s="25">
        <v>1026.78</v>
      </c>
      <c r="H17" s="25">
        <v>392.4</v>
      </c>
      <c r="I17" s="25">
        <v>851.07</v>
      </c>
      <c r="J17" s="30">
        <f t="shared" si="0"/>
        <v>0.37487941856623724</v>
      </c>
      <c r="L17" s="33" t="s">
        <v>144</v>
      </c>
      <c r="M17" s="35">
        <f t="shared" si="1"/>
        <v>0.24311063496160781</v>
      </c>
      <c r="N17" t="str">
        <f t="shared" si="2"/>
        <v>20% - 29%</v>
      </c>
    </row>
    <row r="18" spans="1:14" ht="15" customHeight="1" x14ac:dyDescent="0.25">
      <c r="A18" s="3" t="s">
        <v>124</v>
      </c>
      <c r="B18" s="3" t="s">
        <v>80</v>
      </c>
      <c r="C18" s="3" t="s">
        <v>115</v>
      </c>
      <c r="D18" s="3" t="s">
        <v>120</v>
      </c>
      <c r="E18" s="3" t="s">
        <v>61</v>
      </c>
      <c r="F18" s="25">
        <v>568.75</v>
      </c>
      <c r="G18" s="25">
        <v>260</v>
      </c>
      <c r="H18" s="25">
        <v>195</v>
      </c>
      <c r="I18" s="25">
        <v>113.75</v>
      </c>
      <c r="J18" s="30">
        <f t="shared" si="0"/>
        <v>0.2</v>
      </c>
      <c r="L18" s="33" t="s">
        <v>181</v>
      </c>
      <c r="M18" s="35">
        <f t="shared" si="1"/>
        <v>0.15998874419622619</v>
      </c>
      <c r="N18" t="str">
        <f t="shared" si="2"/>
        <v>1% - 19%</v>
      </c>
    </row>
    <row r="19" spans="1:14" ht="30" customHeight="1" x14ac:dyDescent="0.25">
      <c r="A19" s="3" t="s">
        <v>159</v>
      </c>
      <c r="B19" s="3" t="s">
        <v>80</v>
      </c>
      <c r="C19" s="3" t="s">
        <v>30</v>
      </c>
      <c r="D19" s="3" t="s">
        <v>30</v>
      </c>
      <c r="E19" s="3" t="s">
        <v>61</v>
      </c>
      <c r="F19" s="25">
        <v>5637.45</v>
      </c>
      <c r="G19" s="25">
        <v>4528.18</v>
      </c>
      <c r="H19" s="25">
        <v>0</v>
      </c>
      <c r="I19" s="25">
        <v>1109.27</v>
      </c>
      <c r="J19" s="30">
        <f t="shared" si="0"/>
        <v>0.19676804228862341</v>
      </c>
      <c r="L19" s="33" t="s">
        <v>235</v>
      </c>
      <c r="M19" s="35">
        <f t="shared" si="1"/>
        <v>0.15213469633193025</v>
      </c>
      <c r="N19" t="str">
        <f t="shared" si="2"/>
        <v>1% - 19%</v>
      </c>
    </row>
    <row r="20" spans="1:14" ht="27" customHeight="1" x14ac:dyDescent="0.25">
      <c r="A20" s="3" t="s">
        <v>246</v>
      </c>
      <c r="B20" s="3" t="s">
        <v>80</v>
      </c>
      <c r="C20" s="3" t="s">
        <v>6</v>
      </c>
      <c r="D20" s="3" t="s">
        <v>6</v>
      </c>
      <c r="E20" s="3" t="s">
        <v>61</v>
      </c>
      <c r="F20" s="24">
        <v>2232.5500000000002</v>
      </c>
      <c r="G20" s="24">
        <v>1044.74</v>
      </c>
      <c r="H20" s="24">
        <v>1062.1420000000001</v>
      </c>
      <c r="I20" s="24">
        <v>125.667</v>
      </c>
      <c r="J20" s="30">
        <f t="shared" si="0"/>
        <v>5.6288548968668112E-2</v>
      </c>
      <c r="L20" s="33" t="s">
        <v>241</v>
      </c>
      <c r="M20" s="35">
        <f t="shared" si="1"/>
        <v>0.1790324897892166</v>
      </c>
      <c r="N20" t="str">
        <f t="shared" si="2"/>
        <v>1% - 19%</v>
      </c>
    </row>
    <row r="21" spans="1:14" ht="30" customHeight="1" x14ac:dyDescent="0.25">
      <c r="A21" s="3" t="s">
        <v>51</v>
      </c>
      <c r="B21" s="3" t="s">
        <v>52</v>
      </c>
      <c r="C21" s="3" t="s">
        <v>6</v>
      </c>
      <c r="D21" s="3" t="s">
        <v>6</v>
      </c>
      <c r="E21" s="3" t="s">
        <v>7</v>
      </c>
      <c r="F21" s="24">
        <v>13443.710000000001</v>
      </c>
      <c r="G21" s="24">
        <v>13443.710000000001</v>
      </c>
      <c r="H21" s="24">
        <v>0</v>
      </c>
      <c r="I21" s="24">
        <v>0</v>
      </c>
      <c r="J21" s="30">
        <f t="shared" si="0"/>
        <v>0</v>
      </c>
    </row>
    <row r="22" spans="1:14" ht="30" customHeight="1" x14ac:dyDescent="0.25">
      <c r="A22" s="3" t="s">
        <v>102</v>
      </c>
      <c r="B22" s="3" t="s">
        <v>104</v>
      </c>
      <c r="C22" s="3" t="s">
        <v>36</v>
      </c>
      <c r="D22" s="3" t="s">
        <v>103</v>
      </c>
      <c r="E22" s="3" t="s">
        <v>61</v>
      </c>
      <c r="F22" s="24">
        <v>1530.88</v>
      </c>
      <c r="G22" s="24">
        <v>1332.09</v>
      </c>
      <c r="H22" s="24">
        <v>0</v>
      </c>
      <c r="I22" s="24">
        <v>198.78</v>
      </c>
      <c r="J22" s="30">
        <f t="shared" si="0"/>
        <v>0.129846885451505</v>
      </c>
    </row>
    <row r="23" spans="1:14" ht="15" customHeight="1" x14ac:dyDescent="0.25">
      <c r="A23" s="3" t="s">
        <v>75</v>
      </c>
      <c r="B23" s="3" t="s">
        <v>76</v>
      </c>
      <c r="C23" s="3" t="s">
        <v>15</v>
      </c>
      <c r="D23" s="3" t="s">
        <v>15</v>
      </c>
      <c r="E23" s="3" t="s">
        <v>61</v>
      </c>
      <c r="F23" s="26">
        <v>2028.65</v>
      </c>
      <c r="G23" s="26">
        <v>1400.85</v>
      </c>
      <c r="H23" s="26">
        <v>0</v>
      </c>
      <c r="I23" s="26">
        <v>627.79999999999995</v>
      </c>
      <c r="J23" s="30">
        <f t="shared" si="0"/>
        <v>0.30946688684593199</v>
      </c>
    </row>
    <row r="24" spans="1:14" ht="30" customHeight="1" x14ac:dyDescent="0.25">
      <c r="A24" s="3" t="s">
        <v>91</v>
      </c>
      <c r="B24" s="3" t="s">
        <v>76</v>
      </c>
      <c r="C24" s="3" t="s">
        <v>15</v>
      </c>
      <c r="D24" s="3" t="s">
        <v>15</v>
      </c>
      <c r="E24" s="3" t="s">
        <v>61</v>
      </c>
      <c r="F24" s="25">
        <v>21672</v>
      </c>
      <c r="G24" s="25">
        <v>17200</v>
      </c>
      <c r="H24" s="25">
        <v>215</v>
      </c>
      <c r="I24" s="25">
        <v>4257</v>
      </c>
      <c r="J24" s="30">
        <f t="shared" si="0"/>
        <v>0.19642857142857142</v>
      </c>
    </row>
    <row r="25" spans="1:14" ht="30" customHeight="1" x14ac:dyDescent="0.25">
      <c r="A25" s="3" t="s">
        <v>5</v>
      </c>
      <c r="B25" s="3" t="s">
        <v>8</v>
      </c>
      <c r="C25" s="3" t="s">
        <v>6</v>
      </c>
      <c r="D25" s="4" t="s">
        <v>6</v>
      </c>
      <c r="E25" s="3" t="s">
        <v>7</v>
      </c>
      <c r="F25" s="39">
        <v>13443.710000000001</v>
      </c>
      <c r="G25" s="39">
        <v>13443.710000000001</v>
      </c>
      <c r="H25" s="23">
        <v>0</v>
      </c>
      <c r="I25" s="23">
        <v>0</v>
      </c>
      <c r="J25" s="30">
        <f t="shared" si="0"/>
        <v>0</v>
      </c>
    </row>
    <row r="26" spans="1:14" ht="30" customHeight="1" x14ac:dyDescent="0.25">
      <c r="A26" s="3" t="s">
        <v>22</v>
      </c>
      <c r="B26" s="3" t="s">
        <v>8</v>
      </c>
      <c r="C26" s="3" t="s">
        <v>15</v>
      </c>
      <c r="D26" s="3" t="s">
        <v>15</v>
      </c>
      <c r="E26" s="3" t="s">
        <v>7</v>
      </c>
      <c r="F26" s="23">
        <v>22406.183333333334</v>
      </c>
      <c r="G26" s="23">
        <v>22406.183333333334</v>
      </c>
      <c r="H26" s="23">
        <v>0</v>
      </c>
      <c r="I26" s="23">
        <v>0</v>
      </c>
      <c r="J26" s="30">
        <f t="shared" si="0"/>
        <v>0</v>
      </c>
    </row>
    <row r="27" spans="1:14" ht="15" customHeight="1" x14ac:dyDescent="0.25">
      <c r="A27" s="3" t="s">
        <v>25</v>
      </c>
      <c r="B27" s="3" t="s">
        <v>8</v>
      </c>
      <c r="C27" s="3" t="s">
        <v>15</v>
      </c>
      <c r="D27" s="3" t="s">
        <v>15</v>
      </c>
      <c r="E27" s="3" t="s">
        <v>7</v>
      </c>
      <c r="F27" s="39">
        <v>17924.946666666667</v>
      </c>
      <c r="G27" s="39">
        <v>17924.946666666667</v>
      </c>
      <c r="H27" s="23">
        <v>0</v>
      </c>
      <c r="I27" s="23">
        <v>0</v>
      </c>
      <c r="J27" s="30">
        <f t="shared" si="0"/>
        <v>0</v>
      </c>
    </row>
    <row r="28" spans="1:14" ht="15" customHeight="1" x14ac:dyDescent="0.25">
      <c r="A28" s="3" t="s">
        <v>29</v>
      </c>
      <c r="B28" s="3" t="s">
        <v>8</v>
      </c>
      <c r="C28" s="3" t="s">
        <v>30</v>
      </c>
      <c r="D28" s="3" t="s">
        <v>30</v>
      </c>
      <c r="E28" s="3" t="s">
        <v>7</v>
      </c>
      <c r="F28" s="23">
        <v>3403.051124666667</v>
      </c>
      <c r="G28" s="23">
        <v>3403.051124666667</v>
      </c>
      <c r="H28" s="23">
        <v>0</v>
      </c>
      <c r="I28" s="23">
        <v>0</v>
      </c>
      <c r="J28" s="30">
        <f t="shared" si="0"/>
        <v>0</v>
      </c>
    </row>
    <row r="29" spans="1:14" ht="30" customHeight="1" x14ac:dyDescent="0.25">
      <c r="A29" s="3" t="s">
        <v>33</v>
      </c>
      <c r="B29" s="3" t="s">
        <v>8</v>
      </c>
      <c r="C29" s="3" t="s">
        <v>30</v>
      </c>
      <c r="D29" s="3" t="s">
        <v>30</v>
      </c>
      <c r="E29" s="3" t="s">
        <v>7</v>
      </c>
      <c r="F29" s="23">
        <v>19642.604681000001</v>
      </c>
      <c r="G29" s="23">
        <v>19642.604681000001</v>
      </c>
      <c r="H29" s="23">
        <v>0</v>
      </c>
      <c r="I29" s="23">
        <v>0</v>
      </c>
      <c r="J29" s="30">
        <f t="shared" si="0"/>
        <v>0</v>
      </c>
    </row>
    <row r="30" spans="1:14" ht="15" customHeight="1" x14ac:dyDescent="0.25">
      <c r="A30" s="3" t="s">
        <v>45</v>
      </c>
      <c r="B30" s="3" t="s">
        <v>8</v>
      </c>
      <c r="C30" s="3" t="s">
        <v>6</v>
      </c>
      <c r="D30" s="3" t="s">
        <v>6</v>
      </c>
      <c r="E30" s="3" t="s">
        <v>7</v>
      </c>
      <c r="F30" s="23">
        <v>13443.710000000001</v>
      </c>
      <c r="G30" s="23">
        <v>13443.71</v>
      </c>
      <c r="H30" s="23">
        <v>0</v>
      </c>
      <c r="I30" s="23">
        <v>0</v>
      </c>
      <c r="J30" s="30">
        <f t="shared" si="0"/>
        <v>0</v>
      </c>
    </row>
    <row r="31" spans="1:14" ht="30" customHeight="1" x14ac:dyDescent="0.25">
      <c r="A31" s="3" t="s">
        <v>56</v>
      </c>
      <c r="B31" s="3" t="s">
        <v>8</v>
      </c>
      <c r="C31" s="3" t="s">
        <v>6</v>
      </c>
      <c r="D31" s="3" t="s">
        <v>6</v>
      </c>
      <c r="E31" s="3" t="s">
        <v>7</v>
      </c>
      <c r="F31" s="23">
        <v>22406.183333333334</v>
      </c>
      <c r="G31" s="23">
        <v>22406.183333333334</v>
      </c>
      <c r="H31" s="23">
        <v>0</v>
      </c>
      <c r="I31" s="23">
        <v>0</v>
      </c>
      <c r="J31" s="30">
        <f t="shared" si="0"/>
        <v>0</v>
      </c>
    </row>
    <row r="32" spans="1:14" ht="15" customHeight="1" x14ac:dyDescent="0.25">
      <c r="A32" s="3" t="s">
        <v>58</v>
      </c>
      <c r="B32" s="3" t="s">
        <v>8</v>
      </c>
      <c r="C32" s="3" t="s">
        <v>6</v>
      </c>
      <c r="D32" s="3" t="s">
        <v>6</v>
      </c>
      <c r="E32" s="3" t="s">
        <v>7</v>
      </c>
      <c r="F32" s="23">
        <v>22406.183333333334</v>
      </c>
      <c r="G32" s="23">
        <v>22406.183333333334</v>
      </c>
      <c r="H32" s="23">
        <v>0</v>
      </c>
      <c r="I32" s="23">
        <v>0</v>
      </c>
      <c r="J32" s="30">
        <f t="shared" si="0"/>
        <v>0</v>
      </c>
    </row>
    <row r="33" spans="1:10" ht="30" customHeight="1" x14ac:dyDescent="0.25">
      <c r="A33" s="3" t="s">
        <v>25</v>
      </c>
      <c r="B33" s="4" t="s">
        <v>8</v>
      </c>
      <c r="C33" s="3"/>
      <c r="D33" s="3"/>
      <c r="E33" s="3"/>
      <c r="F33" s="25"/>
      <c r="G33" s="25"/>
      <c r="H33" s="25"/>
      <c r="I33" s="25"/>
      <c r="J33" s="30"/>
    </row>
    <row r="34" spans="1:10" ht="30" customHeight="1" x14ac:dyDescent="0.25">
      <c r="A34" s="3" t="s">
        <v>127</v>
      </c>
      <c r="B34" s="3" t="s">
        <v>128</v>
      </c>
      <c r="C34" s="3" t="s">
        <v>115</v>
      </c>
      <c r="D34" s="3" t="s">
        <v>120</v>
      </c>
      <c r="E34" s="3" t="s">
        <v>61</v>
      </c>
      <c r="F34" s="24">
        <f>749398360/1000000</f>
        <v>749.39836000000003</v>
      </c>
      <c r="G34" s="24">
        <v>640</v>
      </c>
      <c r="H34" s="24">
        <v>0</v>
      </c>
      <c r="I34" s="24">
        <v>109.4</v>
      </c>
      <c r="J34" s="30">
        <f t="shared" ref="J34:J70" si="3">I34/F34</f>
        <v>0.14598377290283901</v>
      </c>
    </row>
    <row r="35" spans="1:10" ht="30" customHeight="1" x14ac:dyDescent="0.25">
      <c r="A35" s="3" t="s">
        <v>64</v>
      </c>
      <c r="B35" s="3" t="s">
        <v>65</v>
      </c>
      <c r="C35" s="3" t="s">
        <v>6</v>
      </c>
      <c r="D35" s="4" t="s">
        <v>6</v>
      </c>
      <c r="E35" s="3" t="s">
        <v>61</v>
      </c>
      <c r="F35" s="25">
        <v>10617.96</v>
      </c>
      <c r="G35" s="25">
        <v>8392.1299999999992</v>
      </c>
      <c r="H35" s="25">
        <v>0</v>
      </c>
      <c r="I35" s="25">
        <v>2225.83</v>
      </c>
      <c r="J35" s="30">
        <f t="shared" si="3"/>
        <v>0.20962877991629278</v>
      </c>
    </row>
    <row r="36" spans="1:10" ht="30" customHeight="1" x14ac:dyDescent="0.25">
      <c r="A36" s="3" t="s">
        <v>136</v>
      </c>
      <c r="B36" s="3" t="s">
        <v>65</v>
      </c>
      <c r="C36" s="3" t="s">
        <v>30</v>
      </c>
      <c r="D36" s="3" t="s">
        <v>30</v>
      </c>
      <c r="E36" s="3" t="s">
        <v>61</v>
      </c>
      <c r="F36" s="25">
        <v>9267</v>
      </c>
      <c r="G36" s="25">
        <v>7938</v>
      </c>
      <c r="H36" s="25">
        <v>0</v>
      </c>
      <c r="I36" s="25">
        <v>1329</v>
      </c>
      <c r="J36" s="30">
        <f t="shared" si="3"/>
        <v>0.14341210747814828</v>
      </c>
    </row>
    <row r="37" spans="1:10" ht="30" customHeight="1" x14ac:dyDescent="0.25">
      <c r="A37" s="3" t="s">
        <v>138</v>
      </c>
      <c r="B37" s="3" t="s">
        <v>65</v>
      </c>
      <c r="C37" s="3" t="s">
        <v>30</v>
      </c>
      <c r="D37" s="3" t="s">
        <v>30</v>
      </c>
      <c r="E37" s="3" t="s">
        <v>61</v>
      </c>
      <c r="F37" s="25">
        <v>7440</v>
      </c>
      <c r="G37" s="25">
        <v>5862</v>
      </c>
      <c r="H37" s="25">
        <v>0</v>
      </c>
      <c r="I37" s="25">
        <v>1578</v>
      </c>
      <c r="J37" s="30">
        <f t="shared" si="3"/>
        <v>0.21209677419354839</v>
      </c>
    </row>
    <row r="38" spans="1:10" ht="30" customHeight="1" x14ac:dyDescent="0.25">
      <c r="A38" s="3" t="s">
        <v>140</v>
      </c>
      <c r="B38" s="3" t="s">
        <v>65</v>
      </c>
      <c r="C38" s="3" t="s">
        <v>30</v>
      </c>
      <c r="D38" s="3" t="s">
        <v>30</v>
      </c>
      <c r="E38" s="3" t="s">
        <v>61</v>
      </c>
      <c r="F38" s="24">
        <v>9510.66</v>
      </c>
      <c r="G38" s="24">
        <v>3112.83</v>
      </c>
      <c r="H38" s="24">
        <v>0</v>
      </c>
      <c r="I38" s="24">
        <v>6397.83</v>
      </c>
      <c r="J38" s="30">
        <f t="shared" si="3"/>
        <v>0.67270094819917858</v>
      </c>
    </row>
    <row r="39" spans="1:10" ht="30" customHeight="1" x14ac:dyDescent="0.25">
      <c r="A39" s="3" t="s">
        <v>171</v>
      </c>
      <c r="B39" s="3" t="s">
        <v>65</v>
      </c>
      <c r="C39" s="3" t="s">
        <v>30</v>
      </c>
      <c r="D39" s="3" t="s">
        <v>30</v>
      </c>
      <c r="E39" s="3" t="s">
        <v>61</v>
      </c>
      <c r="F39" s="25">
        <v>10869.21</v>
      </c>
      <c r="G39" s="25">
        <v>7860.86</v>
      </c>
      <c r="H39" s="25">
        <v>0</v>
      </c>
      <c r="I39" s="25">
        <v>3008.42</v>
      </c>
      <c r="J39" s="30">
        <f t="shared" si="3"/>
        <v>0.27678368529083536</v>
      </c>
    </row>
    <row r="40" spans="1:10" ht="15" customHeight="1" x14ac:dyDescent="0.25">
      <c r="A40" s="3" t="s">
        <v>193</v>
      </c>
      <c r="B40" s="3" t="s">
        <v>65</v>
      </c>
      <c r="C40" s="3" t="s">
        <v>115</v>
      </c>
      <c r="D40" s="3" t="s">
        <v>194</v>
      </c>
      <c r="E40" s="3" t="s">
        <v>61</v>
      </c>
      <c r="F40" s="25">
        <v>7853.43</v>
      </c>
      <c r="G40" s="25">
        <v>5016.6400000000003</v>
      </c>
      <c r="H40" s="25">
        <v>0</v>
      </c>
      <c r="I40" s="25">
        <v>2836.79</v>
      </c>
      <c r="J40" s="30">
        <f t="shared" si="3"/>
        <v>0.36121669130558237</v>
      </c>
    </row>
    <row r="41" spans="1:10" ht="15" customHeight="1" x14ac:dyDescent="0.25">
      <c r="A41" s="3" t="s">
        <v>199</v>
      </c>
      <c r="B41" s="3" t="s">
        <v>65</v>
      </c>
      <c r="C41" s="3" t="s">
        <v>36</v>
      </c>
      <c r="D41" s="3" t="s">
        <v>194</v>
      </c>
      <c r="E41" s="3" t="s">
        <v>61</v>
      </c>
      <c r="F41" s="25">
        <v>4461</v>
      </c>
      <c r="G41" s="25">
        <v>3132</v>
      </c>
      <c r="H41" s="25">
        <v>0</v>
      </c>
      <c r="I41" s="25">
        <v>1329</v>
      </c>
      <c r="J41" s="30">
        <f t="shared" si="3"/>
        <v>0.29791526563550774</v>
      </c>
    </row>
    <row r="42" spans="1:10" ht="30" customHeight="1" x14ac:dyDescent="0.25">
      <c r="A42" s="3" t="s">
        <v>94</v>
      </c>
      <c r="B42" s="3" t="s">
        <v>95</v>
      </c>
      <c r="C42" s="3" t="s">
        <v>15</v>
      </c>
      <c r="D42" s="3" t="s">
        <v>15</v>
      </c>
      <c r="E42" s="3" t="s">
        <v>61</v>
      </c>
      <c r="F42" s="25">
        <v>6934.68</v>
      </c>
      <c r="G42" s="25">
        <v>3956</v>
      </c>
      <c r="H42" s="25">
        <v>0</v>
      </c>
      <c r="I42" s="25">
        <v>2978.68</v>
      </c>
      <c r="J42" s="30">
        <f t="shared" si="3"/>
        <v>0.42953387899657947</v>
      </c>
    </row>
    <row r="43" spans="1:10" ht="15" customHeight="1" x14ac:dyDescent="0.25">
      <c r="A43" s="3" t="s">
        <v>134</v>
      </c>
      <c r="B43" s="3" t="s">
        <v>95</v>
      </c>
      <c r="C43" s="3" t="s">
        <v>30</v>
      </c>
      <c r="D43" s="3" t="s">
        <v>30</v>
      </c>
      <c r="E43" s="3" t="s">
        <v>61</v>
      </c>
      <c r="F43" s="25">
        <v>5749.26</v>
      </c>
      <c r="G43" s="25">
        <v>3794.48</v>
      </c>
      <c r="H43" s="25">
        <v>0</v>
      </c>
      <c r="I43" s="25">
        <v>1954.78</v>
      </c>
      <c r="J43" s="30">
        <f t="shared" si="3"/>
        <v>0.34000549635953148</v>
      </c>
    </row>
    <row r="44" spans="1:10" ht="15" customHeight="1" x14ac:dyDescent="0.25">
      <c r="A44" s="3" t="s">
        <v>147</v>
      </c>
      <c r="B44" s="3" t="s">
        <v>95</v>
      </c>
      <c r="C44" s="3" t="s">
        <v>30</v>
      </c>
      <c r="D44" s="3" t="s">
        <v>30</v>
      </c>
      <c r="E44" s="3" t="s">
        <v>61</v>
      </c>
      <c r="F44" s="25">
        <v>5587.3</v>
      </c>
      <c r="G44" s="25">
        <v>4169.0600000000004</v>
      </c>
      <c r="H44" s="25">
        <v>0</v>
      </c>
      <c r="I44" s="25">
        <v>1418.24</v>
      </c>
      <c r="J44" s="30">
        <f t="shared" si="3"/>
        <v>0.25383279938431802</v>
      </c>
    </row>
    <row r="45" spans="1:10" ht="45" customHeight="1" x14ac:dyDescent="0.25">
      <c r="A45" s="3" t="s">
        <v>150</v>
      </c>
      <c r="B45" s="3" t="s">
        <v>95</v>
      </c>
      <c r="C45" s="3" t="s">
        <v>30</v>
      </c>
      <c r="D45" s="3" t="s">
        <v>30</v>
      </c>
      <c r="E45" s="3" t="s">
        <v>61</v>
      </c>
      <c r="F45" s="25">
        <v>7545.16</v>
      </c>
      <c r="G45" s="25">
        <v>6539.48</v>
      </c>
      <c r="H45" s="25">
        <v>0</v>
      </c>
      <c r="I45" s="25">
        <v>1005.68</v>
      </c>
      <c r="J45" s="30">
        <f t="shared" si="3"/>
        <v>0.1332880946195972</v>
      </c>
    </row>
    <row r="46" spans="1:10" ht="30" customHeight="1" x14ac:dyDescent="0.25">
      <c r="A46" s="3" t="s">
        <v>155</v>
      </c>
      <c r="B46" s="3" t="s">
        <v>95</v>
      </c>
      <c r="C46" s="3" t="s">
        <v>30</v>
      </c>
      <c r="D46" s="3" t="s">
        <v>30</v>
      </c>
      <c r="E46" s="3" t="s">
        <v>61</v>
      </c>
      <c r="F46" s="25">
        <v>3341</v>
      </c>
      <c r="G46" s="25">
        <v>2537</v>
      </c>
      <c r="H46" s="25">
        <v>0</v>
      </c>
      <c r="I46" s="25">
        <v>804</v>
      </c>
      <c r="J46" s="30">
        <f t="shared" si="3"/>
        <v>0.24064651302005388</v>
      </c>
    </row>
    <row r="47" spans="1:10" ht="30" customHeight="1" x14ac:dyDescent="0.25">
      <c r="A47" s="3" t="s">
        <v>157</v>
      </c>
      <c r="B47" s="3" t="s">
        <v>95</v>
      </c>
      <c r="C47" s="3" t="s">
        <v>30</v>
      </c>
      <c r="D47" s="3" t="s">
        <v>30</v>
      </c>
      <c r="E47" s="3" t="s">
        <v>61</v>
      </c>
      <c r="F47" s="25">
        <v>15113</v>
      </c>
      <c r="G47" s="25">
        <v>10579</v>
      </c>
      <c r="H47" s="25">
        <v>0</v>
      </c>
      <c r="I47" s="25">
        <v>4534</v>
      </c>
      <c r="J47" s="30">
        <f t="shared" si="3"/>
        <v>0.30000661681995633</v>
      </c>
    </row>
    <row r="48" spans="1:10" ht="30" customHeight="1" x14ac:dyDescent="0.25">
      <c r="A48" s="3" t="s">
        <v>162</v>
      </c>
      <c r="B48" s="3" t="s">
        <v>95</v>
      </c>
      <c r="C48" s="3" t="s">
        <v>30</v>
      </c>
      <c r="D48" s="3" t="s">
        <v>30</v>
      </c>
      <c r="E48" s="3" t="s">
        <v>61</v>
      </c>
      <c r="F48" s="25">
        <v>34156.620000000003</v>
      </c>
      <c r="G48" s="25">
        <v>21383.29</v>
      </c>
      <c r="H48" s="25">
        <v>0</v>
      </c>
      <c r="I48" s="25">
        <v>12773.33</v>
      </c>
      <c r="J48" s="30">
        <f t="shared" si="3"/>
        <v>0.37396352449393411</v>
      </c>
    </row>
    <row r="49" spans="1:10" ht="15" customHeight="1" x14ac:dyDescent="0.25">
      <c r="A49" s="3" t="s">
        <v>173</v>
      </c>
      <c r="B49" s="3" t="s">
        <v>95</v>
      </c>
      <c r="C49" s="3" t="s">
        <v>30</v>
      </c>
      <c r="D49" s="3" t="s">
        <v>30</v>
      </c>
      <c r="E49" s="3" t="s">
        <v>61</v>
      </c>
      <c r="F49" s="26">
        <v>5541.51</v>
      </c>
      <c r="G49" s="26">
        <v>4323.5200000000004</v>
      </c>
      <c r="H49" s="26">
        <v>0</v>
      </c>
      <c r="I49" s="26">
        <v>1217.99</v>
      </c>
      <c r="J49" s="30">
        <f t="shared" si="3"/>
        <v>0.21979388289473445</v>
      </c>
    </row>
    <row r="50" spans="1:10" ht="15" customHeight="1" x14ac:dyDescent="0.25">
      <c r="A50" s="3" t="s">
        <v>197</v>
      </c>
      <c r="B50" s="3" t="s">
        <v>95</v>
      </c>
      <c r="C50" s="3" t="s">
        <v>115</v>
      </c>
      <c r="D50" s="3" t="s">
        <v>194</v>
      </c>
      <c r="E50" s="3" t="s">
        <v>61</v>
      </c>
      <c r="F50" s="25">
        <v>2222.04</v>
      </c>
      <c r="G50" s="25">
        <v>1207.08</v>
      </c>
      <c r="H50" s="25">
        <v>0</v>
      </c>
      <c r="I50" s="25">
        <v>1014.97</v>
      </c>
      <c r="J50" s="30">
        <f t="shared" si="3"/>
        <v>0.45677395546434807</v>
      </c>
    </row>
    <row r="51" spans="1:10" ht="30" customHeight="1" x14ac:dyDescent="0.25">
      <c r="A51" s="3" t="s">
        <v>204</v>
      </c>
      <c r="B51" s="3" t="s">
        <v>95</v>
      </c>
      <c r="C51" s="3" t="s">
        <v>36</v>
      </c>
      <c r="D51" s="3" t="s">
        <v>194</v>
      </c>
      <c r="E51" s="3" t="s">
        <v>61</v>
      </c>
      <c r="F51" s="25">
        <v>1032.71</v>
      </c>
      <c r="G51" s="25">
        <v>875.25</v>
      </c>
      <c r="H51" s="25">
        <v>0</v>
      </c>
      <c r="I51" s="25">
        <v>157.46</v>
      </c>
      <c r="J51" s="30">
        <f t="shared" si="3"/>
        <v>0.15247262058080197</v>
      </c>
    </row>
    <row r="52" spans="1:10" ht="30" customHeight="1" x14ac:dyDescent="0.25">
      <c r="A52" s="3" t="s">
        <v>211</v>
      </c>
      <c r="B52" s="3" t="s">
        <v>95</v>
      </c>
      <c r="C52" s="3" t="s">
        <v>36</v>
      </c>
      <c r="D52" s="3" t="s">
        <v>194</v>
      </c>
      <c r="E52" s="3" t="s">
        <v>61</v>
      </c>
      <c r="F52" s="25">
        <v>4214.8599999999997</v>
      </c>
      <c r="G52" s="25">
        <v>3267.61</v>
      </c>
      <c r="H52" s="25">
        <v>0</v>
      </c>
      <c r="I52" s="25">
        <v>947.25</v>
      </c>
      <c r="J52" s="30">
        <f t="shared" si="3"/>
        <v>0.22474056077781945</v>
      </c>
    </row>
    <row r="53" spans="1:10" ht="15" customHeight="1" x14ac:dyDescent="0.25">
      <c r="A53" s="3" t="s">
        <v>213</v>
      </c>
      <c r="B53" s="3" t="s">
        <v>95</v>
      </c>
      <c r="C53" s="3" t="s">
        <v>115</v>
      </c>
      <c r="D53" s="3" t="s">
        <v>194</v>
      </c>
      <c r="E53" s="3" t="s">
        <v>61</v>
      </c>
      <c r="F53" s="25">
        <v>972.06</v>
      </c>
      <c r="G53" s="25">
        <v>604.86</v>
      </c>
      <c r="H53" s="25">
        <v>0</v>
      </c>
      <c r="I53" s="25">
        <v>367.2</v>
      </c>
      <c r="J53" s="30">
        <f t="shared" si="3"/>
        <v>0.3777544596012592</v>
      </c>
    </row>
    <row r="54" spans="1:10" ht="15" customHeight="1" x14ac:dyDescent="0.25">
      <c r="A54" s="3" t="s">
        <v>221</v>
      </c>
      <c r="B54" s="3" t="s">
        <v>95</v>
      </c>
      <c r="C54" s="3" t="s">
        <v>6</v>
      </c>
      <c r="D54" s="3" t="s">
        <v>6</v>
      </c>
      <c r="E54" s="3" t="s">
        <v>61</v>
      </c>
      <c r="F54" s="25">
        <v>28943.33</v>
      </c>
      <c r="G54" s="25">
        <v>10284.61</v>
      </c>
      <c r="H54" s="25">
        <v>167.74</v>
      </c>
      <c r="I54" s="25">
        <v>18490.982</v>
      </c>
      <c r="J54" s="30">
        <f t="shared" si="3"/>
        <v>0.63886850614632107</v>
      </c>
    </row>
    <row r="55" spans="1:10" ht="15" customHeight="1" x14ac:dyDescent="0.25">
      <c r="A55" s="3" t="s">
        <v>14</v>
      </c>
      <c r="B55" s="3" t="s">
        <v>16</v>
      </c>
      <c r="C55" s="3" t="s">
        <v>15</v>
      </c>
      <c r="D55" s="3" t="s">
        <v>15</v>
      </c>
      <c r="E55" s="3" t="s">
        <v>7</v>
      </c>
      <c r="F55" s="24">
        <v>21782</v>
      </c>
      <c r="G55" s="24">
        <v>17230</v>
      </c>
      <c r="H55" s="24">
        <v>0</v>
      </c>
      <c r="I55" s="24">
        <v>4552</v>
      </c>
      <c r="J55" s="30">
        <f t="shared" si="3"/>
        <v>0.20897989165365899</v>
      </c>
    </row>
    <row r="56" spans="1:10" ht="15" customHeight="1" x14ac:dyDescent="0.25">
      <c r="A56" s="3" t="s">
        <v>47</v>
      </c>
      <c r="B56" s="3" t="s">
        <v>16</v>
      </c>
      <c r="C56" s="3" t="s">
        <v>6</v>
      </c>
      <c r="D56" s="3" t="s">
        <v>6</v>
      </c>
      <c r="E56" s="3" t="s">
        <v>7</v>
      </c>
      <c r="F56" s="24">
        <v>22013</v>
      </c>
      <c r="G56" s="24">
        <v>17413</v>
      </c>
      <c r="H56" s="24">
        <v>0</v>
      </c>
      <c r="I56" s="24">
        <v>4601</v>
      </c>
      <c r="J56" s="30">
        <f t="shared" si="3"/>
        <v>0.20901285603961295</v>
      </c>
    </row>
    <row r="57" spans="1:10" ht="30" customHeight="1" x14ac:dyDescent="0.25">
      <c r="A57" s="3" t="s">
        <v>49</v>
      </c>
      <c r="B57" s="3" t="s">
        <v>16</v>
      </c>
      <c r="C57" s="3" t="s">
        <v>6</v>
      </c>
      <c r="D57" s="3" t="s">
        <v>6</v>
      </c>
      <c r="E57" s="3" t="s">
        <v>7</v>
      </c>
      <c r="F57" s="24">
        <v>5786</v>
      </c>
      <c r="G57" s="24">
        <v>4339</v>
      </c>
      <c r="H57" s="24">
        <v>0</v>
      </c>
      <c r="I57" s="24">
        <v>1446</v>
      </c>
      <c r="J57" s="30">
        <f t="shared" si="3"/>
        <v>0.24991358451434498</v>
      </c>
    </row>
    <row r="58" spans="1:10" ht="30" customHeight="1" x14ac:dyDescent="0.25">
      <c r="A58" s="3" t="s">
        <v>98</v>
      </c>
      <c r="B58" s="3" t="s">
        <v>16</v>
      </c>
      <c r="C58" s="3" t="s">
        <v>15</v>
      </c>
      <c r="D58" s="3" t="s">
        <v>15</v>
      </c>
      <c r="E58" s="3" t="s">
        <v>61</v>
      </c>
      <c r="F58" s="25">
        <v>43944</v>
      </c>
      <c r="G58" s="25">
        <v>34555</v>
      </c>
      <c r="H58" s="25">
        <v>0</v>
      </c>
      <c r="I58" s="25">
        <v>9389</v>
      </c>
      <c r="J58" s="30">
        <f t="shared" si="3"/>
        <v>0.21365829237210995</v>
      </c>
    </row>
    <row r="59" spans="1:10" ht="15" customHeight="1" x14ac:dyDescent="0.25">
      <c r="A59" s="3" t="s">
        <v>237</v>
      </c>
      <c r="B59" s="3" t="s">
        <v>16</v>
      </c>
      <c r="C59" s="3" t="s">
        <v>6</v>
      </c>
      <c r="D59" s="3" t="s">
        <v>6</v>
      </c>
      <c r="E59" s="3" t="s">
        <v>61</v>
      </c>
      <c r="F59" s="25">
        <v>3477.08</v>
      </c>
      <c r="G59" s="25">
        <v>2800.17</v>
      </c>
      <c r="H59" s="25">
        <v>0</v>
      </c>
      <c r="I59" s="25">
        <v>676.91</v>
      </c>
      <c r="J59" s="30">
        <f t="shared" si="3"/>
        <v>0.19467771808528994</v>
      </c>
    </row>
    <row r="60" spans="1:10" ht="15" customHeight="1" x14ac:dyDescent="0.25">
      <c r="A60" s="3" t="s">
        <v>180</v>
      </c>
      <c r="B60" s="3" t="s">
        <v>181</v>
      </c>
      <c r="C60" s="3" t="s">
        <v>115</v>
      </c>
      <c r="D60" s="3" t="s">
        <v>37</v>
      </c>
      <c r="E60" s="3" t="s">
        <v>61</v>
      </c>
      <c r="F60" s="25">
        <v>1279.3399999999999</v>
      </c>
      <c r="G60" s="25">
        <v>1044.8900000000001</v>
      </c>
      <c r="H60" s="25">
        <v>29.77</v>
      </c>
      <c r="I60" s="25">
        <v>204.68</v>
      </c>
      <c r="J60" s="30">
        <f t="shared" si="3"/>
        <v>0.15998874419622619</v>
      </c>
    </row>
    <row r="61" spans="1:10" ht="15" customHeight="1" x14ac:dyDescent="0.25">
      <c r="A61" s="3" t="s">
        <v>131</v>
      </c>
      <c r="B61" s="3" t="s">
        <v>132</v>
      </c>
      <c r="C61" s="3" t="s">
        <v>115</v>
      </c>
      <c r="D61" s="3" t="s">
        <v>120</v>
      </c>
      <c r="E61" s="3" t="s">
        <v>61</v>
      </c>
      <c r="F61" s="26">
        <v>1721.45</v>
      </c>
      <c r="G61" s="26">
        <v>1377.16</v>
      </c>
      <c r="H61" s="26">
        <v>0</v>
      </c>
      <c r="I61" s="26">
        <v>344.29</v>
      </c>
      <c r="J61" s="30">
        <f t="shared" si="3"/>
        <v>0.2</v>
      </c>
    </row>
    <row r="62" spans="1:10" ht="30" customHeight="1" x14ac:dyDescent="0.25">
      <c r="A62" s="3" t="s">
        <v>167</v>
      </c>
      <c r="B62" s="3" t="s">
        <v>132</v>
      </c>
      <c r="C62" s="3" t="s">
        <v>30</v>
      </c>
      <c r="D62" s="3" t="s">
        <v>30</v>
      </c>
      <c r="E62" s="3" t="s">
        <v>61</v>
      </c>
      <c r="F62" s="25">
        <v>9695</v>
      </c>
      <c r="G62" s="25">
        <v>7770</v>
      </c>
      <c r="H62" s="25">
        <v>0</v>
      </c>
      <c r="I62" s="25">
        <v>1925</v>
      </c>
      <c r="J62" s="30">
        <f t="shared" si="3"/>
        <v>0.19855595667870035</v>
      </c>
    </row>
    <row r="63" spans="1:10" ht="30" customHeight="1" x14ac:dyDescent="0.25">
      <c r="A63" s="3" t="s">
        <v>223</v>
      </c>
      <c r="B63" s="3" t="s">
        <v>132</v>
      </c>
      <c r="C63" s="3" t="s">
        <v>6</v>
      </c>
      <c r="D63" s="3" t="s">
        <v>6</v>
      </c>
      <c r="E63" s="3" t="s">
        <v>61</v>
      </c>
      <c r="F63" s="25">
        <v>17043.669999999998</v>
      </c>
      <c r="G63" s="25">
        <v>11968</v>
      </c>
      <c r="H63" s="25">
        <v>0</v>
      </c>
      <c r="I63" s="25">
        <v>5075.67</v>
      </c>
      <c r="J63" s="30">
        <f t="shared" si="3"/>
        <v>0.29780381807439366</v>
      </c>
    </row>
    <row r="64" spans="1:10" ht="30" customHeight="1" x14ac:dyDescent="0.25">
      <c r="A64" s="3" t="s">
        <v>227</v>
      </c>
      <c r="B64" s="3" t="s">
        <v>132</v>
      </c>
      <c r="C64" s="3" t="s">
        <v>6</v>
      </c>
      <c r="D64" s="3" t="s">
        <v>6</v>
      </c>
      <c r="E64" s="3" t="s">
        <v>61</v>
      </c>
      <c r="F64" s="25">
        <v>6003.86</v>
      </c>
      <c r="G64" s="25">
        <v>5128</v>
      </c>
      <c r="H64" s="25">
        <v>875.86</v>
      </c>
      <c r="I64" s="25">
        <v>0</v>
      </c>
      <c r="J64" s="30">
        <f t="shared" si="3"/>
        <v>0</v>
      </c>
    </row>
    <row r="65" spans="1:10" ht="30" customHeight="1" x14ac:dyDescent="0.25">
      <c r="A65" s="3" t="s">
        <v>240</v>
      </c>
      <c r="B65" s="3" t="s">
        <v>241</v>
      </c>
      <c r="C65" s="3" t="s">
        <v>6</v>
      </c>
      <c r="D65" s="3" t="s">
        <v>6</v>
      </c>
      <c r="E65" s="3" t="s">
        <v>61</v>
      </c>
      <c r="F65" s="24">
        <v>633.399</v>
      </c>
      <c r="G65" s="24">
        <v>520</v>
      </c>
      <c r="H65" s="24">
        <v>0</v>
      </c>
      <c r="I65" s="24">
        <v>113.399</v>
      </c>
      <c r="J65" s="30">
        <f t="shared" si="3"/>
        <v>0.1790324897892166</v>
      </c>
    </row>
    <row r="66" spans="1:10" ht="30" customHeight="1" x14ac:dyDescent="0.25">
      <c r="A66" s="3" t="s">
        <v>119</v>
      </c>
      <c r="B66" s="3" t="s">
        <v>121</v>
      </c>
      <c r="C66" s="3" t="s">
        <v>36</v>
      </c>
      <c r="D66" s="3" t="s">
        <v>120</v>
      </c>
      <c r="E66" s="3" t="s">
        <v>61</v>
      </c>
      <c r="F66" s="25">
        <v>1263.3</v>
      </c>
      <c r="G66" s="25">
        <v>652.79999999999995</v>
      </c>
      <c r="H66" s="25">
        <v>0</v>
      </c>
      <c r="I66" s="25">
        <v>610.5</v>
      </c>
      <c r="J66" s="30">
        <f t="shared" si="3"/>
        <v>0.48325813345998575</v>
      </c>
    </row>
    <row r="67" spans="1:10" ht="30" customHeight="1" x14ac:dyDescent="0.25">
      <c r="A67" s="3" t="s">
        <v>106</v>
      </c>
      <c r="B67" s="3" t="s">
        <v>109</v>
      </c>
      <c r="C67" s="3" t="s">
        <v>107</v>
      </c>
      <c r="D67" s="3" t="s">
        <v>108</v>
      </c>
      <c r="E67" s="3" t="s">
        <v>61</v>
      </c>
      <c r="F67" s="24">
        <v>6089.5029999999997</v>
      </c>
      <c r="G67" s="24">
        <v>5537.4480000000003</v>
      </c>
      <c r="H67" s="24">
        <v>0</v>
      </c>
      <c r="I67" s="24">
        <v>552.005</v>
      </c>
      <c r="J67" s="30">
        <f t="shared" si="3"/>
        <v>9.0648612867092776E-2</v>
      </c>
    </row>
    <row r="68" spans="1:10" ht="15" customHeight="1" x14ac:dyDescent="0.25">
      <c r="A68" s="3" t="s">
        <v>143</v>
      </c>
      <c r="B68" s="3" t="s">
        <v>144</v>
      </c>
      <c r="C68" s="3" t="s">
        <v>30</v>
      </c>
      <c r="D68" s="3" t="s">
        <v>30</v>
      </c>
      <c r="E68" s="3" t="s">
        <v>61</v>
      </c>
      <c r="F68" s="25">
        <v>4007.14</v>
      </c>
      <c r="G68" s="25">
        <v>3417.98</v>
      </c>
      <c r="H68" s="25">
        <v>0</v>
      </c>
      <c r="I68" s="25">
        <v>589.16</v>
      </c>
      <c r="J68" s="30">
        <f t="shared" si="3"/>
        <v>0.14702755581287402</v>
      </c>
    </row>
    <row r="69" spans="1:10" ht="15" customHeight="1" x14ac:dyDescent="0.25">
      <c r="A69" s="3" t="s">
        <v>207</v>
      </c>
      <c r="B69" s="38" t="s">
        <v>144</v>
      </c>
      <c r="C69" s="38" t="s">
        <v>36</v>
      </c>
      <c r="D69" s="38" t="s">
        <v>194</v>
      </c>
      <c r="E69" s="38" t="s">
        <v>61</v>
      </c>
      <c r="F69" s="25">
        <v>11212.14</v>
      </c>
      <c r="G69" s="25">
        <v>8950.58</v>
      </c>
      <c r="H69" s="25">
        <v>0</v>
      </c>
      <c r="I69" s="25">
        <v>2261.56</v>
      </c>
      <c r="J69" s="30">
        <f t="shared" si="3"/>
        <v>0.20170636470825373</v>
      </c>
    </row>
    <row r="70" spans="1:10" ht="30" customHeight="1" x14ac:dyDescent="0.25">
      <c r="A70" s="3" t="s">
        <v>232</v>
      </c>
      <c r="B70" s="3" t="s">
        <v>144</v>
      </c>
      <c r="C70" s="3" t="s">
        <v>6</v>
      </c>
      <c r="D70" s="3" t="s">
        <v>6</v>
      </c>
      <c r="E70" s="3" t="s">
        <v>61</v>
      </c>
      <c r="F70" s="25">
        <v>5111.4380000000001</v>
      </c>
      <c r="G70" s="25">
        <v>3166.0349999999999</v>
      </c>
      <c r="H70" s="25">
        <v>0</v>
      </c>
      <c r="I70" s="25">
        <v>1945.403</v>
      </c>
      <c r="J70" s="30">
        <f t="shared" si="3"/>
        <v>0.38059798436369568</v>
      </c>
    </row>
    <row r="71" spans="1:10" x14ac:dyDescent="0.25">
      <c r="J71" s="31">
        <f>AVERAGE(J2:J70)</f>
        <v>0.22312271754419669</v>
      </c>
    </row>
    <row r="73" spans="1:10" x14ac:dyDescent="0.25">
      <c r="G73" s="19">
        <f>SUM(G2:G70)</f>
        <v>511897.0954723332</v>
      </c>
      <c r="H73" s="19">
        <f>SUM(H2:H70)</f>
        <v>4768.3289999999997</v>
      </c>
      <c r="I73" s="19">
        <f>SUM(I2:I70)</f>
        <v>148437.78200000004</v>
      </c>
    </row>
    <row r="74" spans="1:10" x14ac:dyDescent="0.25">
      <c r="F74" s="19">
        <f>SUM(G73,I73)</f>
        <v>660334.87747233326</v>
      </c>
      <c r="G74" s="19">
        <f>G73/F74*100</f>
        <v>77.520832676868665</v>
      </c>
      <c r="I74" s="19">
        <f>I73/F74*100</f>
        <v>22.479167323131328</v>
      </c>
    </row>
  </sheetData>
  <sortState ref="A2:J71">
    <sortCondition ref="B7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BreakPreview" zoomScaleNormal="115" zoomScaleSheetLayoutView="100" workbookViewId="0">
      <selection activeCell="A8" sqref="A8"/>
    </sheetView>
  </sheetViews>
  <sheetFormatPr defaultRowHeight="16.5" x14ac:dyDescent="0.3"/>
  <cols>
    <col min="1" max="1" width="10.7109375" style="47" customWidth="1"/>
    <col min="2" max="2" width="14.140625" style="47" customWidth="1"/>
    <col min="3" max="3" width="11.28515625" style="47" customWidth="1"/>
    <col min="4" max="4" width="14.140625" style="47" customWidth="1"/>
    <col min="5" max="5" width="12.140625" style="47" customWidth="1"/>
    <col min="6" max="6" width="16.85546875" style="47" customWidth="1"/>
    <col min="7" max="16384" width="9.140625" style="47"/>
  </cols>
  <sheetData>
    <row r="1" spans="1:7" ht="15.75" customHeight="1" x14ac:dyDescent="0.3">
      <c r="F1" s="46" t="s">
        <v>295</v>
      </c>
      <c r="G1" s="43"/>
    </row>
    <row r="2" spans="1:7" ht="25.5" customHeight="1" x14ac:dyDescent="0.3">
      <c r="A2" s="58" t="s">
        <v>297</v>
      </c>
      <c r="B2" s="58"/>
      <c r="C2" s="58"/>
      <c r="D2" s="58"/>
      <c r="E2" s="58"/>
      <c r="F2" s="58"/>
      <c r="G2" s="45"/>
    </row>
    <row r="3" spans="1:7" x14ac:dyDescent="0.3">
      <c r="A3" s="58" t="s">
        <v>296</v>
      </c>
      <c r="B3" s="58"/>
      <c r="C3" s="58"/>
      <c r="D3" s="58"/>
      <c r="E3" s="58"/>
      <c r="F3" s="58"/>
      <c r="G3" s="45"/>
    </row>
    <row r="4" spans="1:7" x14ac:dyDescent="0.3">
      <c r="A4" s="44"/>
      <c r="B4" s="44"/>
      <c r="C4" s="44"/>
      <c r="D4" s="44"/>
      <c r="E4" s="44"/>
      <c r="F4" s="44"/>
      <c r="G4" s="44"/>
    </row>
    <row r="5" spans="1:7" x14ac:dyDescent="0.3">
      <c r="A5" s="44"/>
      <c r="B5" s="44"/>
      <c r="C5" s="44"/>
      <c r="D5" s="44"/>
      <c r="E5" s="44"/>
      <c r="F5" s="44"/>
      <c r="G5" s="44"/>
    </row>
    <row r="6" spans="1:7" x14ac:dyDescent="0.3">
      <c r="A6" s="59" t="s">
        <v>287</v>
      </c>
      <c r="B6" s="61" t="s">
        <v>288</v>
      </c>
      <c r="C6" s="62"/>
      <c r="D6" s="62"/>
      <c r="E6" s="63"/>
      <c r="F6" s="64" t="s">
        <v>289</v>
      </c>
    </row>
    <row r="7" spans="1:7" ht="33" customHeight="1" x14ac:dyDescent="0.3">
      <c r="A7" s="60"/>
      <c r="B7" s="40" t="s">
        <v>290</v>
      </c>
      <c r="C7" s="40" t="s">
        <v>291</v>
      </c>
      <c r="D7" s="40" t="s">
        <v>292</v>
      </c>
      <c r="E7" s="40" t="s">
        <v>293</v>
      </c>
      <c r="F7" s="65"/>
    </row>
    <row r="8" spans="1:7" x14ac:dyDescent="0.3">
      <c r="A8" s="48" t="s">
        <v>121</v>
      </c>
      <c r="B8" s="41">
        <f>SUMIFS('LoanProjectFinInfo2 (ok)'!$G:$G,'LoanProjectFinInfo2 (ok)'!$B:$B,"LWUA")</f>
        <v>652.79999999999995</v>
      </c>
      <c r="C8" s="41">
        <f>SUMIFS('LoanProjectFinInfo2 (ok)'!$H:$H,'LoanProjectFinInfo2 (ok)'!$B:$B,"LWUA")</f>
        <v>0</v>
      </c>
      <c r="D8" s="41">
        <f>SUMIFS('LoanProjectFinInfo2 (ok)'!$I:$I,'LoanProjectFinInfo2 (ok)'!$B:$B,"LWUA")</f>
        <v>610.5</v>
      </c>
      <c r="E8" s="41">
        <f t="shared" ref="E8:E27" si="0">SUM(B8:D8)</f>
        <v>1263.3</v>
      </c>
      <c r="F8" s="42">
        <f t="shared" ref="F8:F26" si="1">D8/E8*100</f>
        <v>48.325813345998576</v>
      </c>
    </row>
    <row r="9" spans="1:7" ht="15" customHeight="1" x14ac:dyDescent="0.3">
      <c r="A9" s="48" t="s">
        <v>85</v>
      </c>
      <c r="B9" s="41">
        <f>SUMIFS('LoanProjectFinInfo2 (ok)'!$G:$G,'LoanProjectFinInfo2 (ok)'!$B:$B,"DBP")</f>
        <v>29125.02</v>
      </c>
      <c r="C9" s="41">
        <f>SUMIFS('LoanProjectFinInfo2 (ok)'!$H:$H,'LoanProjectFinInfo2 (ok)'!$B:$B,"DBP")</f>
        <v>177.98</v>
      </c>
      <c r="D9" s="41">
        <f>SUMIFS('LoanProjectFinInfo2 (ok)'!$I:$I,'LoanProjectFinInfo2 (ok)'!$B:$B,"DBP")</f>
        <v>21546.71</v>
      </c>
      <c r="E9" s="41">
        <f t="shared" si="0"/>
        <v>50849.71</v>
      </c>
      <c r="F9" s="42">
        <f t="shared" si="1"/>
        <v>42.373319336531125</v>
      </c>
    </row>
    <row r="10" spans="1:7" x14ac:dyDescent="0.3">
      <c r="A10" s="48" t="s">
        <v>95</v>
      </c>
      <c r="B10" s="41">
        <f>SUMIFS('LoanProjectFinInfo2 (ok)'!$G:$G,'LoanProjectFinInfo2 (ok)'!$B:$B,"DPWH")</f>
        <v>73521.240000000005</v>
      </c>
      <c r="C10" s="41">
        <f>SUMIFS('LoanProjectFinInfo2 (ok)'!$H:$H,'LoanProjectFinInfo2 (ok)'!$B:$B,"DPWH")</f>
        <v>167.74</v>
      </c>
      <c r="D10" s="41">
        <f>SUMIFS('LoanProjectFinInfo2 (ok)'!$I:$I,'LoanProjectFinInfo2 (ok)'!$B:$B,"DPWH")</f>
        <v>47664.562000000005</v>
      </c>
      <c r="E10" s="41">
        <f t="shared" si="0"/>
        <v>121353.54200000002</v>
      </c>
      <c r="F10" s="42">
        <f t="shared" si="1"/>
        <v>39.277437818831856</v>
      </c>
    </row>
    <row r="11" spans="1:7" x14ac:dyDescent="0.3">
      <c r="A11" s="48" t="s">
        <v>65</v>
      </c>
      <c r="B11" s="41">
        <f>SUMIFS('LoanProjectFinInfo2 (ok)'!$G:$G,'LoanProjectFinInfo2 (ok)'!$B:$B,"DOTC")</f>
        <v>41314.46</v>
      </c>
      <c r="C11" s="41">
        <f>SUMIFS('LoanProjectFinInfo2 (ok)'!$H:$H,'LoanProjectFinInfo2 (ok)'!$B:$B,"DOTC")</f>
        <v>0</v>
      </c>
      <c r="D11" s="41">
        <f>SUMIFS('LoanProjectFinInfo2 (ok)'!$I:$I,'LoanProjectFinInfo2 (ok)'!$B:$B,"DOTC")</f>
        <v>18704.87</v>
      </c>
      <c r="E11" s="41">
        <f t="shared" si="0"/>
        <v>60019.33</v>
      </c>
      <c r="F11" s="42">
        <f t="shared" si="1"/>
        <v>31.164743091933879</v>
      </c>
    </row>
    <row r="12" spans="1:7" x14ac:dyDescent="0.3">
      <c r="A12" s="48" t="s">
        <v>72</v>
      </c>
      <c r="B12" s="41">
        <f>SUMIFS('LoanProjectFinInfo2 (ok)'!$G:$G,'LoanProjectFinInfo2 (ok)'!$B:$B,"DAR")</f>
        <v>31903.390000000003</v>
      </c>
      <c r="C12" s="41">
        <f>SUMIFS('LoanProjectFinInfo2 (ok)'!$H:$H,'LoanProjectFinInfo2 (ok)'!$B:$B,"DAR")</f>
        <v>81.307000000000002</v>
      </c>
      <c r="D12" s="41">
        <f>SUMIFS('LoanProjectFinInfo2 (ok)'!$I:$I,'LoanProjectFinInfo2 (ok)'!$B:$B,"DAR")</f>
        <v>10023.335999999999</v>
      </c>
      <c r="E12" s="41">
        <f t="shared" si="0"/>
        <v>42008.033000000003</v>
      </c>
      <c r="F12" s="42">
        <f t="shared" si="1"/>
        <v>23.860522105379221</v>
      </c>
    </row>
    <row r="13" spans="1:7" x14ac:dyDescent="0.3">
      <c r="A13" s="48" t="s">
        <v>144</v>
      </c>
      <c r="B13" s="41">
        <f>SUMIFS('LoanProjectFinInfo2 (ok)'!$G:$G,'LoanProjectFinInfo2 (ok)'!$B:$B,"NIA")</f>
        <v>15534.594999999999</v>
      </c>
      <c r="C13" s="41">
        <f>SUMIFS('LoanProjectFinInfo2 (ok)'!$H:$H,'LoanProjectFinInfo2 (ok)'!$B:$B,"NIA")</f>
        <v>0</v>
      </c>
      <c r="D13" s="41">
        <f>SUMIFS('LoanProjectFinInfo2 (ok)'!$I:$I,'LoanProjectFinInfo2 (ok)'!$B:$B,"NIA")</f>
        <v>4796.1229999999996</v>
      </c>
      <c r="E13" s="41">
        <f t="shared" si="0"/>
        <v>20330.718000000001</v>
      </c>
      <c r="F13" s="42">
        <f t="shared" si="1"/>
        <v>23.590524446800153</v>
      </c>
    </row>
    <row r="14" spans="1:7" x14ac:dyDescent="0.3">
      <c r="A14" s="48" t="s">
        <v>38</v>
      </c>
      <c r="B14" s="41">
        <f>SUMIFS('LoanProjectFinInfo2 (ok)'!$G:$G,'LoanProjectFinInfo2 (ok)'!$B:$B,"DA")</f>
        <v>27640</v>
      </c>
      <c r="C14" s="41">
        <f>SUMIFS('LoanProjectFinInfo2 (ok)'!$H:$H,'LoanProjectFinInfo2 (ok)'!$B:$B,"DA")</f>
        <v>1403</v>
      </c>
      <c r="D14" s="41">
        <f>SUMIFS('LoanProjectFinInfo2 (ok)'!$I:$I,'LoanProjectFinInfo2 (ok)'!$B:$B,"DA")</f>
        <v>7907.6600000000008</v>
      </c>
      <c r="E14" s="41">
        <f t="shared" si="0"/>
        <v>36950.660000000003</v>
      </c>
      <c r="F14" s="42">
        <f t="shared" si="1"/>
        <v>21.400592032726884</v>
      </c>
    </row>
    <row r="15" spans="1:7" x14ac:dyDescent="0.3">
      <c r="A15" s="48" t="s">
        <v>132</v>
      </c>
      <c r="B15" s="41">
        <f>SUMIFS('LoanProjectFinInfo2 (ok)'!$G:$G,'LoanProjectFinInfo2 (ok)'!$B:$B,"LBP")</f>
        <v>26243.16</v>
      </c>
      <c r="C15" s="41">
        <f>SUMIFS('LoanProjectFinInfo2 (ok)'!$H:$H,'LoanProjectFinInfo2 (ok)'!$B:$B,"LBP")</f>
        <v>875.86</v>
      </c>
      <c r="D15" s="41">
        <f>SUMIFS('LoanProjectFinInfo2 (ok)'!$I:$I,'LoanProjectFinInfo2 (ok)'!$B:$B,"LBP")</f>
        <v>7344.96</v>
      </c>
      <c r="E15" s="41">
        <f t="shared" si="0"/>
        <v>34463.980000000003</v>
      </c>
      <c r="F15" s="42">
        <f t="shared" si="1"/>
        <v>21.311990083559703</v>
      </c>
    </row>
    <row r="16" spans="1:7" x14ac:dyDescent="0.3">
      <c r="A16" s="48" t="s">
        <v>16</v>
      </c>
      <c r="B16" s="41">
        <f>SUMIFS('LoanProjectFinInfo2 (ok)'!$G:$G,'LoanProjectFinInfo2 (ok)'!$B:$B,"DSWD")</f>
        <v>76337.17</v>
      </c>
      <c r="C16" s="41">
        <f>SUMIFS('LoanProjectFinInfo2 (ok)'!$H:$H,'LoanProjectFinInfo2 (ok)'!$B:$B,"DSWD")</f>
        <v>0</v>
      </c>
      <c r="D16" s="41">
        <f>SUMIFS('LoanProjectFinInfo2 (ok)'!$I:$I,'LoanProjectFinInfo2 (ok)'!$B:$B,"DSWD")</f>
        <v>20664.91</v>
      </c>
      <c r="E16" s="41">
        <f t="shared" si="0"/>
        <v>97002.08</v>
      </c>
      <c r="F16" s="42">
        <f t="shared" si="1"/>
        <v>21.303574108926323</v>
      </c>
    </row>
    <row r="17" spans="1:6" x14ac:dyDescent="0.3">
      <c r="A17" s="48" t="s">
        <v>76</v>
      </c>
      <c r="B17" s="41">
        <f>SUMIFS('LoanProjectFinInfo2 (ok)'!$G:$G,'LoanProjectFinInfo2 (ok)'!$B:$B,"DOE")</f>
        <v>18600.849999999999</v>
      </c>
      <c r="C17" s="41">
        <f>SUMIFS('LoanProjectFinInfo2 (ok)'!$H:$H,'LoanProjectFinInfo2 (ok)'!$B:$B,"DOE")</f>
        <v>215</v>
      </c>
      <c r="D17" s="41">
        <f>SUMIFS('LoanProjectFinInfo2 (ok)'!$I:$I,'LoanProjectFinInfo2 (ok)'!$B:$B,"DOE")</f>
        <v>4884.8</v>
      </c>
      <c r="E17" s="41">
        <f t="shared" si="0"/>
        <v>23700.649999999998</v>
      </c>
      <c r="F17" s="42">
        <f t="shared" si="1"/>
        <v>20.610405199857389</v>
      </c>
    </row>
    <row r="18" spans="1:6" x14ac:dyDescent="0.3">
      <c r="A18" s="48" t="s">
        <v>241</v>
      </c>
      <c r="B18" s="41">
        <f>SUMIFS('LoanProjectFinInfo2 (ok)'!$G:$G,'LoanProjectFinInfo2 (ok)'!$B:$B,"LLDA")</f>
        <v>520</v>
      </c>
      <c r="C18" s="41">
        <f>SUMIFS('LoanProjectFinInfo2 (ok)'!$H:$H,'LoanProjectFinInfo2 (ok)'!$B:$B,"LLDA")</f>
        <v>0</v>
      </c>
      <c r="D18" s="41">
        <f>SUMIFS('LoanProjectFinInfo2 (ok)'!$I:$I,'LoanProjectFinInfo2 (ok)'!$B:$B,"LLDA")</f>
        <v>113.399</v>
      </c>
      <c r="E18" s="41">
        <f t="shared" si="0"/>
        <v>633.399</v>
      </c>
      <c r="F18" s="42">
        <f t="shared" si="1"/>
        <v>17.90324897892166</v>
      </c>
    </row>
    <row r="19" spans="1:6" x14ac:dyDescent="0.3">
      <c r="A19" s="48" t="s">
        <v>80</v>
      </c>
      <c r="B19" s="41">
        <f>SUMIFS('LoanProjectFinInfo2 (ok)'!$G:$G,'LoanProjectFinInfo2 (ok)'!$B:$B,"DENR")</f>
        <v>12019.699999999999</v>
      </c>
      <c r="C19" s="41">
        <f>SUMIFS('LoanProjectFinInfo2 (ok)'!$H:$H,'LoanProjectFinInfo2 (ok)'!$B:$B,"DENR")</f>
        <v>1817.672</v>
      </c>
      <c r="D19" s="41">
        <f>SUMIFS('LoanProjectFinInfo2 (ok)'!$I:$I,'LoanProjectFinInfo2 (ok)'!$B:$B,"DENR")</f>
        <v>2858.087</v>
      </c>
      <c r="E19" s="41">
        <f t="shared" si="0"/>
        <v>16695.458999999999</v>
      </c>
      <c r="F19" s="42">
        <f t="shared" si="1"/>
        <v>17.118948331998538</v>
      </c>
    </row>
    <row r="20" spans="1:6" x14ac:dyDescent="0.3">
      <c r="A20" s="48" t="s">
        <v>181</v>
      </c>
      <c r="B20" s="41">
        <f>SUMIFS('LoanProjectFinInfo2 (ok)'!$G:$G,'LoanProjectFinInfo2 (ok)'!$B:$B,"DTI")</f>
        <v>1044.8900000000001</v>
      </c>
      <c r="C20" s="41">
        <f>SUMIFS('LoanProjectFinInfo2 (ok)'!$H:$H,'LoanProjectFinInfo2 (ok)'!$B:$B,"DTI")</f>
        <v>29.77</v>
      </c>
      <c r="D20" s="41">
        <f>SUMIFS('LoanProjectFinInfo2 (ok)'!$I:$I,'LoanProjectFinInfo2 (ok)'!$B:$B,"DTI")</f>
        <v>204.68</v>
      </c>
      <c r="E20" s="41">
        <f t="shared" si="0"/>
        <v>1279.3400000000001</v>
      </c>
      <c r="F20" s="42">
        <f t="shared" si="1"/>
        <v>15.998874419622616</v>
      </c>
    </row>
    <row r="21" spans="1:6" x14ac:dyDescent="0.3">
      <c r="A21" s="48" t="s">
        <v>235</v>
      </c>
      <c r="B21" s="41">
        <f>SUMIFS('LoanProjectFinInfo2 (ok)'!$G:$G,'LoanProjectFinInfo2 (ok)'!$B:$B,"ARG")</f>
        <v>1410</v>
      </c>
      <c r="C21" s="41">
        <f>SUMIFS('LoanProjectFinInfo2 (ok)'!$H:$H,'LoanProjectFinInfo2 (ok)'!$B:$B,"ARG")</f>
        <v>0</v>
      </c>
      <c r="D21" s="41">
        <f>SUMIFS('LoanProjectFinInfo2 (ok)'!$I:$I,'LoanProjectFinInfo2 (ok)'!$B:$B,"ARG")</f>
        <v>253</v>
      </c>
      <c r="E21" s="41">
        <f t="shared" si="0"/>
        <v>1663</v>
      </c>
      <c r="F21" s="42">
        <f t="shared" si="1"/>
        <v>15.213469633193025</v>
      </c>
    </row>
    <row r="22" spans="1:6" x14ac:dyDescent="0.3">
      <c r="A22" s="48" t="s">
        <v>128</v>
      </c>
      <c r="B22" s="41">
        <f>SUMIFS('LoanProjectFinInfo2 (ok)'!$G:$G,'LoanProjectFinInfo2 (ok)'!$B:$B,"DOH")</f>
        <v>640</v>
      </c>
      <c r="C22" s="41">
        <f>SUMIFS('LoanProjectFinInfo2 (ok)'!$H:$H,'LoanProjectFinInfo2 (ok)'!$B:$B,"DOH")</f>
        <v>0</v>
      </c>
      <c r="D22" s="41">
        <f>SUMIFS('LoanProjectFinInfo2 (ok)'!$I:$I,'LoanProjectFinInfo2 (ok)'!$B:$B,"DOH")</f>
        <v>109.4</v>
      </c>
      <c r="E22" s="41">
        <f t="shared" si="0"/>
        <v>749.4</v>
      </c>
      <c r="F22" s="42">
        <f t="shared" si="1"/>
        <v>14.598345342941021</v>
      </c>
    </row>
    <row r="23" spans="1:6" x14ac:dyDescent="0.3">
      <c r="A23" s="48" t="s">
        <v>104</v>
      </c>
      <c r="B23" s="41">
        <f>SUMIFS('LoanProjectFinInfo2 (ok)'!$G:$G,'LoanProjectFinInfo2 (ok)'!$B:$B,"DILG")</f>
        <v>1332.09</v>
      </c>
      <c r="C23" s="41">
        <f>SUMIFS('LoanProjectFinInfo2 (ok)'!$H:$H,'LoanProjectFinInfo2 (ok)'!$B:$B,"DILG")</f>
        <v>0</v>
      </c>
      <c r="D23" s="41">
        <f>SUMIFS('LoanProjectFinInfo2 (ok)'!$I:$I,'LoanProjectFinInfo2 (ok)'!$B:$B,"DILG")</f>
        <v>198.78</v>
      </c>
      <c r="E23" s="41">
        <f t="shared" si="0"/>
        <v>1530.87</v>
      </c>
      <c r="F23" s="42">
        <f t="shared" si="1"/>
        <v>12.984773364165475</v>
      </c>
    </row>
    <row r="24" spans="1:6" x14ac:dyDescent="0.3">
      <c r="A24" s="48" t="s">
        <v>109</v>
      </c>
      <c r="B24" s="41">
        <f>SUMIFS('LoanProjectFinInfo2 (ok)'!$G:$G,'LoanProjectFinInfo2 (ok)'!$B:$B,"MWSS")</f>
        <v>5537.4480000000003</v>
      </c>
      <c r="C24" s="41">
        <f>SUMIFS('LoanProjectFinInfo2 (ok)'!$H:$H,'LoanProjectFinInfo2 (ok)'!$B:$B,"MWSS")</f>
        <v>0</v>
      </c>
      <c r="D24" s="41">
        <f>SUMIFS('LoanProjectFinInfo2 (ok)'!$I:$I,'LoanProjectFinInfo2 (ok)'!$B:$B,"MWSS")</f>
        <v>552.005</v>
      </c>
      <c r="E24" s="41">
        <f t="shared" si="0"/>
        <v>6089.4530000000004</v>
      </c>
      <c r="F24" s="42">
        <f t="shared" si="1"/>
        <v>9.0649357175431025</v>
      </c>
    </row>
    <row r="25" spans="1:6" x14ac:dyDescent="0.3">
      <c r="A25" s="48" t="s">
        <v>8</v>
      </c>
      <c r="B25" s="41">
        <f>SUMIFS('LoanProjectFinInfo2 (ok)'!$G:$G,'LoanProjectFinInfo2 (ok)'!$B:$B,"DOF")</f>
        <v>135076.57247233333</v>
      </c>
      <c r="C25" s="41">
        <f>SUMIFS('LoanProjectFinInfo2 (ok)'!$H:$H,'LoanProjectFinInfo2 (ok)'!$B:$B,"DOF")</f>
        <v>0</v>
      </c>
      <c r="D25" s="41">
        <f>SUMIFS('LoanProjectFinInfo2 (ok)'!$I:$I,'LoanProjectFinInfo2 (ok)'!$B:$B,"DOF")</f>
        <v>0</v>
      </c>
      <c r="E25" s="41">
        <f t="shared" si="0"/>
        <v>135076.57247233333</v>
      </c>
      <c r="F25" s="42">
        <f t="shared" si="1"/>
        <v>0</v>
      </c>
    </row>
    <row r="26" spans="1:6" x14ac:dyDescent="0.3">
      <c r="A26" s="48" t="s">
        <v>52</v>
      </c>
      <c r="B26" s="41">
        <f>SUMIFS('LoanProjectFinInfo2 (ok)'!$G:$G,'LoanProjectFinInfo2 (ok)'!$B:$B,"DepEd")</f>
        <v>13443.710000000001</v>
      </c>
      <c r="C26" s="41">
        <f>SUMIFS('LoanProjectFinInfo2 (ok)'!$H:$H,'LoanProjectFinInfo2 (ok)'!$B:$B,"DepEd")</f>
        <v>0</v>
      </c>
      <c r="D26" s="41">
        <f>SUMIFS('LoanProjectFinInfo2 (ok)'!$I:$I,'LoanProjectFinInfo2 (ok)'!$B:$B,"DepEd")</f>
        <v>0</v>
      </c>
      <c r="E26" s="41">
        <f t="shared" si="0"/>
        <v>13443.710000000001</v>
      </c>
      <c r="F26" s="42">
        <f t="shared" si="1"/>
        <v>0</v>
      </c>
    </row>
    <row r="27" spans="1:6" s="53" customFormat="1" ht="14.25" x14ac:dyDescent="0.2">
      <c r="A27" s="49" t="s">
        <v>294</v>
      </c>
      <c r="B27" s="50">
        <f>SUM(B8:B26)</f>
        <v>511897.09547233337</v>
      </c>
      <c r="C27" s="50">
        <f>SUM(C8:C26)</f>
        <v>4768.3290000000006</v>
      </c>
      <c r="D27" s="50">
        <f>SUM(D8:D26)</f>
        <v>148437.78199999998</v>
      </c>
      <c r="E27" s="51">
        <f t="shared" si="0"/>
        <v>665103.2064723334</v>
      </c>
      <c r="F27" s="52">
        <f t="shared" ref="F27" si="2">D27/E27*100</f>
        <v>22.31800727398457</v>
      </c>
    </row>
  </sheetData>
  <sortState ref="A3:F21">
    <sortCondition descending="1" ref="F2"/>
  </sortState>
  <mergeCells count="5">
    <mergeCell ref="A2:F2"/>
    <mergeCell ref="A3:F3"/>
    <mergeCell ref="A6:A7"/>
    <mergeCell ref="B6:E6"/>
    <mergeCell ref="F6:F7"/>
  </mergeCells>
  <printOptions horizontalCentered="1"/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topLeftCell="A16" zoomScaleNormal="115" zoomScaleSheetLayoutView="100" workbookViewId="0">
      <selection activeCell="G30" sqref="G30"/>
    </sheetView>
  </sheetViews>
  <sheetFormatPr defaultRowHeight="16.5" x14ac:dyDescent="0.3"/>
  <cols>
    <col min="1" max="1" width="10.7109375" style="47" customWidth="1"/>
    <col min="2" max="2" width="14.140625" style="47" customWidth="1"/>
    <col min="3" max="3" width="11.28515625" style="47" customWidth="1"/>
    <col min="4" max="4" width="12.7109375" style="47" customWidth="1"/>
    <col min="5" max="5" width="12" style="47" customWidth="1"/>
    <col min="6" max="6" width="12.140625" style="47" customWidth="1"/>
    <col min="7" max="7" width="16.85546875" style="47" customWidth="1"/>
    <col min="8" max="16384" width="9.140625" style="47"/>
  </cols>
  <sheetData>
    <row r="1" spans="1:8" ht="15.75" customHeight="1" x14ac:dyDescent="0.3">
      <c r="G1" s="46" t="s">
        <v>295</v>
      </c>
      <c r="H1" s="43"/>
    </row>
    <row r="2" spans="1:8" ht="25.5" customHeight="1" x14ac:dyDescent="0.3">
      <c r="A2" s="58" t="s">
        <v>297</v>
      </c>
      <c r="B2" s="58"/>
      <c r="C2" s="58"/>
      <c r="D2" s="58"/>
      <c r="E2" s="58"/>
      <c r="F2" s="58"/>
      <c r="G2" s="58"/>
      <c r="H2" s="45"/>
    </row>
    <row r="3" spans="1:8" x14ac:dyDescent="0.3">
      <c r="A3" s="58" t="s">
        <v>296</v>
      </c>
      <c r="B3" s="58"/>
      <c r="C3" s="58"/>
      <c r="D3" s="58"/>
      <c r="E3" s="58"/>
      <c r="F3" s="58"/>
      <c r="G3" s="58"/>
      <c r="H3" s="45"/>
    </row>
    <row r="4" spans="1:8" x14ac:dyDescent="0.3">
      <c r="A4" s="54"/>
      <c r="B4" s="54"/>
      <c r="C4" s="54"/>
      <c r="D4" s="54"/>
      <c r="E4" s="54"/>
      <c r="F4" s="54"/>
      <c r="G4" s="54"/>
      <c r="H4" s="54"/>
    </row>
    <row r="5" spans="1:8" x14ac:dyDescent="0.3">
      <c r="A5" s="54"/>
      <c r="B5" s="54"/>
      <c r="C5" s="54"/>
      <c r="D5" s="54"/>
      <c r="E5" s="54"/>
      <c r="F5" s="54"/>
      <c r="G5" s="54"/>
      <c r="H5" s="54"/>
    </row>
    <row r="6" spans="1:8" x14ac:dyDescent="0.3">
      <c r="A6" s="59" t="s">
        <v>287</v>
      </c>
      <c r="B6" s="61" t="s">
        <v>288</v>
      </c>
      <c r="C6" s="62"/>
      <c r="D6" s="62"/>
      <c r="E6" s="62"/>
      <c r="F6" s="63"/>
      <c r="G6" s="64" t="s">
        <v>289</v>
      </c>
    </row>
    <row r="7" spans="1:8" ht="33" customHeight="1" x14ac:dyDescent="0.3">
      <c r="A7" s="60"/>
      <c r="B7" s="40" t="s">
        <v>290</v>
      </c>
      <c r="C7" s="40" t="s">
        <v>291</v>
      </c>
      <c r="D7" s="40" t="s">
        <v>292</v>
      </c>
      <c r="E7" s="40" t="s">
        <v>298</v>
      </c>
      <c r="F7" s="40" t="s">
        <v>293</v>
      </c>
      <c r="G7" s="65"/>
    </row>
    <row r="8" spans="1:8" x14ac:dyDescent="0.3">
      <c r="A8" s="55" t="s">
        <v>235</v>
      </c>
      <c r="B8" s="41">
        <f>SUMIFS('[1]LoanProjectFinInfo2 (ok) (2)'!$G:$G,'[1]LoanProjectFinInfo2 (ok) (2)'!B:B,$A8)</f>
        <v>1410</v>
      </c>
      <c r="C8" s="41">
        <f>SUMIFS('[1]LoanProjectFinInfo2 (ok) (2)'!$H:$H,'[1]LoanProjectFinInfo2 (ok) (2)'!B:B,$A8)</f>
        <v>0</v>
      </c>
      <c r="D8" s="41">
        <f>SUMIFS('[1]LoanProjectFinInfo2 (ok) (2)'!$O:$O,'[1]LoanProjectFinInfo2 (ok) (2)'!B:B,$A8)</f>
        <v>253</v>
      </c>
      <c r="E8" s="41">
        <v>0</v>
      </c>
      <c r="F8" s="41">
        <f>SUM(B8:E8)</f>
        <v>1663</v>
      </c>
      <c r="G8" s="42">
        <f>D8/$F$27*100</f>
        <v>3.8026186178577857E-2</v>
      </c>
    </row>
    <row r="9" spans="1:8" ht="15" customHeight="1" x14ac:dyDescent="0.3">
      <c r="A9" s="56" t="s">
        <v>38</v>
      </c>
      <c r="B9" s="41">
        <f>SUMIFS('[1]LoanProjectFinInfo2 (ok) (2)'!$G:$G,'[1]LoanProjectFinInfo2 (ok) (2)'!B:B,$A9)</f>
        <v>27640</v>
      </c>
      <c r="C9" s="41">
        <f>SUMIFS('[1]LoanProjectFinInfo2 (ok) (2)'!$H:$H,'[1]LoanProjectFinInfo2 (ok) (2)'!B:B,$A9)</f>
        <v>1403</v>
      </c>
      <c r="D9" s="41">
        <f>SUMIFS('[1]LoanProjectFinInfo2 (ok) (2)'!$O:$O,'[1]LoanProjectFinInfo2 (ok) (2)'!B:B,$A9)</f>
        <v>7908</v>
      </c>
      <c r="E9" s="41">
        <v>0</v>
      </c>
      <c r="F9" s="41">
        <f t="shared" ref="F9:F26" si="0">SUM(B9:E9)</f>
        <v>36951</v>
      </c>
      <c r="G9" s="42">
        <f t="shared" ref="G9:G27" si="1">D9/$F$27*100</f>
        <v>1.1885813450600542</v>
      </c>
    </row>
    <row r="10" spans="1:8" x14ac:dyDescent="0.3">
      <c r="A10" s="56" t="s">
        <v>72</v>
      </c>
      <c r="B10" s="41">
        <f>SUMIFS('[1]LoanProjectFinInfo2 (ok) (2)'!$G:$G,'[1]LoanProjectFinInfo2 (ok) (2)'!B:B,$A10)</f>
        <v>31903.390000000003</v>
      </c>
      <c r="C10" s="41">
        <f>SUMIFS('[1]LoanProjectFinInfo2 (ok) (2)'!$H:$H,'[1]LoanProjectFinInfo2 (ok) (2)'!B:B,$A10)</f>
        <v>81.307000000000002</v>
      </c>
      <c r="D10" s="41">
        <f>SUMIFS('[1]LoanProjectFinInfo2 (ok) (2)'!$O:$O,'[1]LoanProjectFinInfo2 (ok) (2)'!B:B,$A10)</f>
        <v>10023.33</v>
      </c>
      <c r="E10" s="41">
        <v>0</v>
      </c>
      <c r="F10" s="41">
        <f t="shared" si="0"/>
        <v>42008.027000000002</v>
      </c>
      <c r="G10" s="42">
        <f t="shared" si="1"/>
        <v>1.5065178367957501</v>
      </c>
    </row>
    <row r="11" spans="1:8" x14ac:dyDescent="0.3">
      <c r="A11" s="56" t="s">
        <v>85</v>
      </c>
      <c r="B11" s="41">
        <f>SUMIFS('[1]LoanProjectFinInfo2 (ok) (2)'!$G:$G,'[1]LoanProjectFinInfo2 (ok) (2)'!B:B,$A11)</f>
        <v>29125.02</v>
      </c>
      <c r="C11" s="41">
        <f>SUMIFS('[1]LoanProjectFinInfo2 (ok) (2)'!$H:$H,'[1]LoanProjectFinInfo2 (ok) (2)'!B:B,$A11)</f>
        <v>177.98</v>
      </c>
      <c r="D11" s="41">
        <f>SUMIFS('[1]LoanProjectFinInfo2 (ok) (2)'!$O:$O,'[1]LoanProjectFinInfo2 (ok) (2)'!B:B,$A11)</f>
        <v>21773.95</v>
      </c>
      <c r="E11" s="41">
        <v>0</v>
      </c>
      <c r="F11" s="41">
        <f t="shared" si="0"/>
        <v>51076.95</v>
      </c>
      <c r="G11" s="42">
        <f t="shared" si="1"/>
        <v>3.2726493143993887</v>
      </c>
    </row>
    <row r="12" spans="1:8" x14ac:dyDescent="0.3">
      <c r="A12" s="56" t="s">
        <v>80</v>
      </c>
      <c r="B12" s="41">
        <f>SUMIFS('[1]LoanProjectFinInfo2 (ok) (2)'!$G:$G,'[1]LoanProjectFinInfo2 (ok) (2)'!B:B,$A12)</f>
        <v>12019.699999999999</v>
      </c>
      <c r="C12" s="41">
        <f>SUMIFS('[1]LoanProjectFinInfo2 (ok) (2)'!$H:$H,'[1]LoanProjectFinInfo2 (ok) (2)'!B:B,$A12)</f>
        <v>1817.672</v>
      </c>
      <c r="D12" s="41">
        <f>SUMIFS('[1]LoanProjectFinInfo2 (ok) (2)'!$O:$O,'[1]LoanProjectFinInfo2 (ok) (2)'!B:B,$A12)</f>
        <v>2858.09</v>
      </c>
      <c r="E12" s="41">
        <v>0</v>
      </c>
      <c r="F12" s="41">
        <f t="shared" si="0"/>
        <v>16695.462</v>
      </c>
      <c r="G12" s="42">
        <f t="shared" si="1"/>
        <v>0.42957415990170589</v>
      </c>
    </row>
    <row r="13" spans="1:8" x14ac:dyDescent="0.3">
      <c r="A13" s="56" t="s">
        <v>52</v>
      </c>
      <c r="B13" s="41">
        <f>SUMIFS('[1]LoanProjectFinInfo2 (ok) (2)'!$G:$G,'[1]LoanProjectFinInfo2 (ok) (2)'!B:B,$A13)</f>
        <v>13443.710000000001</v>
      </c>
      <c r="C13" s="41">
        <f>SUMIFS('[1]LoanProjectFinInfo2 (ok) (2)'!$H:$H,'[1]LoanProjectFinInfo2 (ok) (2)'!B:B,$A13)</f>
        <v>0</v>
      </c>
      <c r="D13" s="41">
        <f>SUMIFS('[1]LoanProjectFinInfo2 (ok) (2)'!$O:$O,'[1]LoanProjectFinInfo2 (ok) (2)'!B:B,$A13)</f>
        <v>0</v>
      </c>
      <c r="E13" s="41">
        <v>0</v>
      </c>
      <c r="F13" s="41">
        <f t="shared" si="0"/>
        <v>13443.710000000001</v>
      </c>
      <c r="G13" s="42">
        <f t="shared" si="1"/>
        <v>0</v>
      </c>
    </row>
    <row r="14" spans="1:8" x14ac:dyDescent="0.3">
      <c r="A14" s="56" t="s">
        <v>104</v>
      </c>
      <c r="B14" s="41">
        <f>SUMIFS('[1]LoanProjectFinInfo2 (ok) (2)'!$G:$G,'[1]LoanProjectFinInfo2 (ok) (2)'!B:B,$A14)</f>
        <v>1332.09</v>
      </c>
      <c r="C14" s="41">
        <f>SUMIFS('[1]LoanProjectFinInfo2 (ok) (2)'!$H:$H,'[1]LoanProjectFinInfo2 (ok) (2)'!B:B,$A14)</f>
        <v>0</v>
      </c>
      <c r="D14" s="41">
        <f>SUMIFS('[1]LoanProjectFinInfo2 (ok) (2)'!$O:$O,'[1]LoanProjectFinInfo2 (ok) (2)'!B:B,$A14)</f>
        <v>198.78</v>
      </c>
      <c r="E14" s="41">
        <v>0</v>
      </c>
      <c r="F14" s="41">
        <f t="shared" si="0"/>
        <v>1530.87</v>
      </c>
      <c r="G14" s="42">
        <f t="shared" si="1"/>
        <v>2.987685884813323E-2</v>
      </c>
    </row>
    <row r="15" spans="1:8" x14ac:dyDescent="0.3">
      <c r="A15" s="56" t="s">
        <v>76</v>
      </c>
      <c r="B15" s="41">
        <f>SUMIFS('[1]LoanProjectFinInfo2 (ok) (2)'!$G:$G,'[1]LoanProjectFinInfo2 (ok) (2)'!B:B,$A15)</f>
        <v>18600.849999999999</v>
      </c>
      <c r="C15" s="41">
        <f>SUMIFS('[1]LoanProjectFinInfo2 (ok) (2)'!$H:$H,'[1]LoanProjectFinInfo2 (ok) (2)'!B:B,$A15)</f>
        <v>215</v>
      </c>
      <c r="D15" s="41">
        <f>SUMIFS('[1]LoanProjectFinInfo2 (ok) (2)'!$O:$O,'[1]LoanProjectFinInfo2 (ok) (2)'!B:B,$A15)</f>
        <v>4884.8</v>
      </c>
      <c r="E15" s="41">
        <v>0</v>
      </c>
      <c r="F15" s="41">
        <f t="shared" si="0"/>
        <v>23700.649999999998</v>
      </c>
      <c r="G15" s="42">
        <f t="shared" si="1"/>
        <v>0.73419096539571982</v>
      </c>
    </row>
    <row r="16" spans="1:8" x14ac:dyDescent="0.3">
      <c r="A16" s="56" t="s">
        <v>8</v>
      </c>
      <c r="B16" s="41">
        <f>SUMIFS('[1]LoanProjectFinInfo2 (ok) (2)'!$G:$G,'[1]LoanProjectFinInfo2 (ok) (2)'!B:B,$A16)</f>
        <v>135076.57247233333</v>
      </c>
      <c r="C16" s="41">
        <f>SUMIFS('[1]LoanProjectFinInfo2 (ok) (2)'!$H:$H,'[1]LoanProjectFinInfo2 (ok) (2)'!B:B,$A16)</f>
        <v>0</v>
      </c>
      <c r="D16" s="41">
        <f>SUMIFS('[1]LoanProjectFinInfo2 (ok) (2)'!$O:$O,'[1]LoanProjectFinInfo2 (ok) (2)'!B:B,$A16)</f>
        <v>0</v>
      </c>
      <c r="E16" s="41">
        <v>0</v>
      </c>
      <c r="F16" s="41">
        <f t="shared" si="0"/>
        <v>135076.57247233333</v>
      </c>
      <c r="G16" s="42">
        <f t="shared" si="1"/>
        <v>0</v>
      </c>
    </row>
    <row r="17" spans="1:7" x14ac:dyDescent="0.3">
      <c r="A17" s="56" t="s">
        <v>128</v>
      </c>
      <c r="B17" s="41">
        <f>SUMIFS('[1]LoanProjectFinInfo2 (ok) (2)'!$G:$G,'[1]LoanProjectFinInfo2 (ok) (2)'!B:B,$A17)</f>
        <v>640</v>
      </c>
      <c r="C17" s="41">
        <f>SUMIFS('[1]LoanProjectFinInfo2 (ok) (2)'!$H:$H,'[1]LoanProjectFinInfo2 (ok) (2)'!B:B,$A17)</f>
        <v>0</v>
      </c>
      <c r="D17" s="41">
        <f>SUMIFS('[1]LoanProjectFinInfo2 (ok) (2)'!$O:$O,'[1]LoanProjectFinInfo2 (ok) (2)'!B:B,$A17)</f>
        <v>109.4</v>
      </c>
      <c r="E17" s="41">
        <v>0</v>
      </c>
      <c r="F17" s="41">
        <f t="shared" si="0"/>
        <v>749.4</v>
      </c>
      <c r="G17" s="42">
        <f t="shared" si="1"/>
        <v>1.6442943746784257E-2</v>
      </c>
    </row>
    <row r="18" spans="1:7" x14ac:dyDescent="0.3">
      <c r="A18" s="56" t="s">
        <v>65</v>
      </c>
      <c r="B18" s="41">
        <f>SUMIFS('[1]LoanProjectFinInfo2 (ok) (2)'!$G:$G,'[1]LoanProjectFinInfo2 (ok) (2)'!B:B,$A18)</f>
        <v>41314.46</v>
      </c>
      <c r="C18" s="41">
        <f>SUMIFS('[1]LoanProjectFinInfo2 (ok) (2)'!$H:$H,'[1]LoanProjectFinInfo2 (ok) (2)'!B:B,$A18)</f>
        <v>0</v>
      </c>
      <c r="D18" s="41">
        <f>SUMIFS('[1]LoanProjectFinInfo2 (ok) (2)'!$O:$O,'[1]LoanProjectFinInfo2 (ok) (2)'!B:B,$A18)</f>
        <v>17569.560000000001</v>
      </c>
      <c r="E18" s="41">
        <v>1135.31</v>
      </c>
      <c r="F18" s="41">
        <f t="shared" si="0"/>
        <v>60019.33</v>
      </c>
      <c r="G18" s="42">
        <f t="shared" si="1"/>
        <v>2.6407247416430613</v>
      </c>
    </row>
    <row r="19" spans="1:7" x14ac:dyDescent="0.3">
      <c r="A19" s="56" t="s">
        <v>95</v>
      </c>
      <c r="B19" s="41">
        <f>SUMIFS('[1]LoanProjectFinInfo2 (ok) (2)'!$G:$G,'[1]LoanProjectFinInfo2 (ok) (2)'!B:B,$A19)</f>
        <v>73521.240000000005</v>
      </c>
      <c r="C19" s="41">
        <f>SUMIFS('[1]LoanProjectFinInfo2 (ok) (2)'!$H:$H,'[1]LoanProjectFinInfo2 (ok) (2)'!B:B,$A19)</f>
        <v>167.74</v>
      </c>
      <c r="D19" s="41">
        <f>SUMIFS('[1]LoanProjectFinInfo2 (ok) (2)'!$O:$O,'[1]LoanProjectFinInfo2 (ok) (2)'!B:B,$A19)</f>
        <v>47664.76</v>
      </c>
      <c r="E19" s="41">
        <v>0</v>
      </c>
      <c r="F19" s="41">
        <f t="shared" si="0"/>
        <v>121353.74000000002</v>
      </c>
      <c r="G19" s="42">
        <f t="shared" si="1"/>
        <v>7.1640673435463667</v>
      </c>
    </row>
    <row r="20" spans="1:7" x14ac:dyDescent="0.3">
      <c r="A20" s="56" t="s">
        <v>16</v>
      </c>
      <c r="B20" s="41">
        <f>SUMIFS('[1]LoanProjectFinInfo2 (ok) (2)'!$G:$G,'[1]LoanProjectFinInfo2 (ok) (2)'!B:B,$A20)</f>
        <v>76337.17</v>
      </c>
      <c r="C20" s="41">
        <f>SUMIFS('[1]LoanProjectFinInfo2 (ok) (2)'!$H:$H,'[1]LoanProjectFinInfo2 (ok) (2)'!B:B,$A20)</f>
        <v>0</v>
      </c>
      <c r="D20" s="41">
        <f>SUMIFS('[1]LoanProjectFinInfo2 (ok) (2)'!$O:$O,'[1]LoanProjectFinInfo2 (ok) (2)'!B:B,$A20)</f>
        <v>20664.91</v>
      </c>
      <c r="E20" s="41">
        <v>0</v>
      </c>
      <c r="F20" s="41">
        <f t="shared" si="0"/>
        <v>97002.08</v>
      </c>
      <c r="G20" s="42">
        <f t="shared" si="1"/>
        <v>3.1059593479191911</v>
      </c>
    </row>
    <row r="21" spans="1:7" x14ac:dyDescent="0.3">
      <c r="A21" s="56" t="s">
        <v>181</v>
      </c>
      <c r="B21" s="41">
        <f>SUMIFS('[1]LoanProjectFinInfo2 (ok) (2)'!$G:$G,'[1]LoanProjectFinInfo2 (ok) (2)'!B:B,$A21)</f>
        <v>1044.8900000000001</v>
      </c>
      <c r="C21" s="41">
        <f>SUMIFS('[1]LoanProjectFinInfo2 (ok) (2)'!$H:$H,'[1]LoanProjectFinInfo2 (ok) (2)'!B:B,$A21)</f>
        <v>29.77</v>
      </c>
      <c r="D21" s="41">
        <f>SUMIFS('[1]LoanProjectFinInfo2 (ok) (2)'!$O:$O,'[1]LoanProjectFinInfo2 (ok) (2)'!B:B,$A21)</f>
        <v>204.68</v>
      </c>
      <c r="E21" s="41">
        <v>0</v>
      </c>
      <c r="F21" s="41">
        <f t="shared" si="0"/>
        <v>1279.3400000000001</v>
      </c>
      <c r="G21" s="42">
        <f t="shared" si="1"/>
        <v>3.0763635521862912E-2</v>
      </c>
    </row>
    <row r="22" spans="1:7" x14ac:dyDescent="0.3">
      <c r="A22" s="56" t="s">
        <v>132</v>
      </c>
      <c r="B22" s="41">
        <f>SUMIFS('[1]LoanProjectFinInfo2 (ok) (2)'!$G:$G,'[1]LoanProjectFinInfo2 (ok) (2)'!B:B,$A22)</f>
        <v>26243.16</v>
      </c>
      <c r="C22" s="41">
        <f>SUMIFS('[1]LoanProjectFinInfo2 (ok) (2)'!$H:$H,'[1]LoanProjectFinInfo2 (ok) (2)'!B:B,$A22)</f>
        <v>875.86</v>
      </c>
      <c r="D22" s="41">
        <f>SUMIFS('[1]LoanProjectFinInfo2 (ok) (2)'!$O:$O,'[1]LoanProjectFinInfo2 (ok) (2)'!B:B,$A22)</f>
        <v>7344.96</v>
      </c>
      <c r="E22" s="41">
        <v>0</v>
      </c>
      <c r="F22" s="41">
        <f t="shared" si="0"/>
        <v>34463.980000000003</v>
      </c>
      <c r="G22" s="42">
        <f t="shared" si="1"/>
        <v>1.1039557961826372</v>
      </c>
    </row>
    <row r="23" spans="1:7" x14ac:dyDescent="0.3">
      <c r="A23" s="56" t="s">
        <v>241</v>
      </c>
      <c r="B23" s="41">
        <f>SUMIFS('[1]LoanProjectFinInfo2 (ok) (2)'!$G:$G,'[1]LoanProjectFinInfo2 (ok) (2)'!B:B,$A23)</f>
        <v>520</v>
      </c>
      <c r="C23" s="41">
        <f>SUMIFS('[1]LoanProjectFinInfo2 (ok) (2)'!$H:$H,'[1]LoanProjectFinInfo2 (ok) (2)'!B:B,$A23)</f>
        <v>0</v>
      </c>
      <c r="D23" s="41">
        <f>SUMIFS('[1]LoanProjectFinInfo2 (ok) (2)'!$O:$O,'[1]LoanProjectFinInfo2 (ok) (2)'!B:B,$A23)</f>
        <v>113.4</v>
      </c>
      <c r="E23" s="41">
        <v>0</v>
      </c>
      <c r="F23" s="41">
        <f t="shared" si="0"/>
        <v>633.4</v>
      </c>
      <c r="G23" s="42">
        <f t="shared" si="1"/>
        <v>1.7044148271346756E-2</v>
      </c>
    </row>
    <row r="24" spans="1:7" x14ac:dyDescent="0.3">
      <c r="A24" s="56" t="s">
        <v>121</v>
      </c>
      <c r="B24" s="41">
        <f>SUMIFS('[1]LoanProjectFinInfo2 (ok) (2)'!$G:$G,'[1]LoanProjectFinInfo2 (ok) (2)'!B:B,$A24)</f>
        <v>652.79999999999995</v>
      </c>
      <c r="C24" s="41">
        <f>SUMIFS('[1]LoanProjectFinInfo2 (ok) (2)'!$H:$H,'[1]LoanProjectFinInfo2 (ok) (2)'!B:B,$A24)</f>
        <v>0</v>
      </c>
      <c r="D24" s="41">
        <f>SUMIFS('[1]LoanProjectFinInfo2 (ok) (2)'!$O:$O,'[1]LoanProjectFinInfo2 (ok) (2)'!B:B,$A24)</f>
        <v>610.5</v>
      </c>
      <c r="E24" s="41">
        <v>0</v>
      </c>
      <c r="F24" s="41">
        <f t="shared" si="0"/>
        <v>1263.3</v>
      </c>
      <c r="G24" s="42">
        <f t="shared" si="1"/>
        <v>9.1758840561350918E-2</v>
      </c>
    </row>
    <row r="25" spans="1:7" x14ac:dyDescent="0.3">
      <c r="A25" s="56" t="s">
        <v>109</v>
      </c>
      <c r="B25" s="41">
        <f>SUMIFS('[1]LoanProjectFinInfo2 (ok) (2)'!$G:$G,'[1]LoanProjectFinInfo2 (ok) (2)'!B:B,$A25)</f>
        <v>5537.4480000000003</v>
      </c>
      <c r="C25" s="41">
        <f>SUMIFS('[1]LoanProjectFinInfo2 (ok) (2)'!$H:$H,'[1]LoanProjectFinInfo2 (ok) (2)'!B:B,$A25)</f>
        <v>0</v>
      </c>
      <c r="D25" s="41">
        <f>SUMIFS('[1]LoanProjectFinInfo2 (ok) (2)'!$O:$O,'[1]LoanProjectFinInfo2 (ok) (2)'!B:B,$A25)</f>
        <v>552.01</v>
      </c>
      <c r="E25" s="41">
        <v>0</v>
      </c>
      <c r="F25" s="41">
        <f t="shared" si="0"/>
        <v>6089.4580000000005</v>
      </c>
      <c r="G25" s="42">
        <f t="shared" si="1"/>
        <v>8.2967727400935817E-2</v>
      </c>
    </row>
    <row r="26" spans="1:7" x14ac:dyDescent="0.3">
      <c r="A26" s="56" t="s">
        <v>144</v>
      </c>
      <c r="B26" s="41">
        <f>SUMIFS('[1]LoanProjectFinInfo2 (ok) (2)'!$G:$G,'[1]LoanProjectFinInfo2 (ok) (2)'!B:B,$A26)</f>
        <v>15534.594999999999</v>
      </c>
      <c r="C26" s="41">
        <f>SUMIFS('[1]LoanProjectFinInfo2 (ok) (2)'!$H:$H,'[1]LoanProjectFinInfo2 (ok) (2)'!B:B,$A26)</f>
        <v>0</v>
      </c>
      <c r="D26" s="41">
        <f>SUMIFS('[1]LoanProjectFinInfo2 (ok) (2)'!$O:$O,'[1]LoanProjectFinInfo2 (ok) (2)'!B:B,$A26)</f>
        <v>4796.1229999999996</v>
      </c>
      <c r="E26" s="41">
        <v>0</v>
      </c>
      <c r="F26" s="41">
        <f t="shared" si="0"/>
        <v>20330.718000000001</v>
      </c>
      <c r="G26" s="42">
        <f t="shared" si="1"/>
        <v>0.72086271198956264</v>
      </c>
    </row>
    <row r="27" spans="1:7" s="53" customFormat="1" ht="14.25" x14ac:dyDescent="0.2">
      <c r="A27" s="49" t="s">
        <v>294</v>
      </c>
      <c r="B27" s="50">
        <f>SUM(B8:B26)</f>
        <v>511897.09547233325</v>
      </c>
      <c r="C27" s="50">
        <f>SUM(C8:C26)</f>
        <v>4768.3289999999997</v>
      </c>
      <c r="D27" s="50">
        <f>SUM(D8:D26)</f>
        <v>147530.253</v>
      </c>
      <c r="E27" s="50">
        <f>SUM(E8:E26)</f>
        <v>1135.31</v>
      </c>
      <c r="F27" s="50">
        <f>SUM(F8:F26)</f>
        <v>665330.98747233336</v>
      </c>
      <c r="G27" s="57">
        <f t="shared" si="1"/>
        <v>22.173963903362427</v>
      </c>
    </row>
  </sheetData>
  <mergeCells count="5">
    <mergeCell ref="A2:G2"/>
    <mergeCell ref="A3:G3"/>
    <mergeCell ref="A6:A7"/>
    <mergeCell ref="B6:F6"/>
    <mergeCell ref="G6:G7"/>
  </mergeCells>
  <printOptions horizontalCentered="1"/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Normal="115" zoomScaleSheetLayoutView="100" workbookViewId="0">
      <selection activeCell="F22" sqref="F22"/>
    </sheetView>
  </sheetViews>
  <sheetFormatPr defaultRowHeight="16.5" x14ac:dyDescent="0.3"/>
  <cols>
    <col min="1" max="1" width="10.7109375" style="47" customWidth="1"/>
    <col min="2" max="2" width="14.140625" style="47" customWidth="1"/>
    <col min="3" max="3" width="11.28515625" style="47" customWidth="1"/>
    <col min="4" max="4" width="12.7109375" style="47" customWidth="1"/>
    <col min="5" max="5" width="12" style="47" customWidth="1"/>
    <col min="6" max="6" width="12.140625" style="47" customWidth="1"/>
    <col min="7" max="7" width="16.85546875" style="47" customWidth="1"/>
    <col min="8" max="16384" width="9.140625" style="47"/>
  </cols>
  <sheetData>
    <row r="1" spans="1:8" ht="15.75" customHeight="1" x14ac:dyDescent="0.3">
      <c r="G1" s="46" t="s">
        <v>295</v>
      </c>
      <c r="H1" s="43"/>
    </row>
    <row r="2" spans="1:8" ht="25.5" customHeight="1" x14ac:dyDescent="0.3">
      <c r="A2" s="58" t="s">
        <v>297</v>
      </c>
      <c r="B2" s="58"/>
      <c r="C2" s="58"/>
      <c r="D2" s="58"/>
      <c r="E2" s="58"/>
      <c r="F2" s="58"/>
      <c r="G2" s="58"/>
      <c r="H2" s="45"/>
    </row>
    <row r="3" spans="1:8" x14ac:dyDescent="0.3">
      <c r="A3" s="58" t="s">
        <v>296</v>
      </c>
      <c r="B3" s="58"/>
      <c r="C3" s="58"/>
      <c r="D3" s="58"/>
      <c r="E3" s="58"/>
      <c r="F3" s="58"/>
      <c r="G3" s="58"/>
      <c r="H3" s="45"/>
    </row>
    <row r="4" spans="1:8" x14ac:dyDescent="0.3">
      <c r="A4" s="54"/>
      <c r="B4" s="54"/>
      <c r="C4" s="54"/>
      <c r="D4" s="54"/>
      <c r="E4" s="54"/>
      <c r="F4" s="54"/>
      <c r="G4" s="54"/>
      <c r="H4" s="54"/>
    </row>
    <row r="5" spans="1:8" x14ac:dyDescent="0.3">
      <c r="A5" s="54"/>
      <c r="B5" s="54"/>
      <c r="C5" s="54"/>
      <c r="D5" s="54"/>
      <c r="E5" s="54"/>
      <c r="F5" s="54"/>
      <c r="G5" s="54"/>
      <c r="H5" s="54"/>
    </row>
    <row r="6" spans="1:8" x14ac:dyDescent="0.3">
      <c r="A6" s="59" t="s">
        <v>287</v>
      </c>
      <c r="B6" s="61" t="s">
        <v>288</v>
      </c>
      <c r="C6" s="62"/>
      <c r="D6" s="62"/>
      <c r="E6" s="62"/>
      <c r="F6" s="63"/>
      <c r="G6" s="64" t="s">
        <v>289</v>
      </c>
    </row>
    <row r="7" spans="1:8" ht="33" customHeight="1" x14ac:dyDescent="0.3">
      <c r="A7" s="60"/>
      <c r="B7" s="40" t="s">
        <v>290</v>
      </c>
      <c r="C7" s="40" t="s">
        <v>291</v>
      </c>
      <c r="D7" s="40" t="s">
        <v>292</v>
      </c>
      <c r="E7" s="40" t="s">
        <v>298</v>
      </c>
      <c r="F7" s="40" t="s">
        <v>293</v>
      </c>
      <c r="G7" s="65"/>
    </row>
    <row r="8" spans="1:8" x14ac:dyDescent="0.3">
      <c r="A8" s="55" t="s">
        <v>235</v>
      </c>
      <c r="B8" s="41">
        <v>1410</v>
      </c>
      <c r="C8" s="41">
        <v>0</v>
      </c>
      <c r="D8" s="41">
        <v>253</v>
      </c>
      <c r="E8" s="41">
        <v>0</v>
      </c>
      <c r="F8" s="41">
        <v>1663</v>
      </c>
      <c r="G8" s="42">
        <v>3.8026186178577857E-2</v>
      </c>
    </row>
    <row r="9" spans="1:8" ht="15" customHeight="1" x14ac:dyDescent="0.3">
      <c r="A9" s="56" t="s">
        <v>38</v>
      </c>
      <c r="B9" s="41">
        <v>27640</v>
      </c>
      <c r="C9" s="41">
        <v>1403</v>
      </c>
      <c r="D9" s="41">
        <v>7908</v>
      </c>
      <c r="E9" s="41">
        <v>0</v>
      </c>
      <c r="F9" s="41">
        <v>36951</v>
      </c>
      <c r="G9" s="42">
        <v>1.1885813450600542</v>
      </c>
    </row>
    <row r="10" spans="1:8" x14ac:dyDescent="0.3">
      <c r="A10" s="56" t="s">
        <v>72</v>
      </c>
      <c r="B10" s="41">
        <v>31903.390000000003</v>
      </c>
      <c r="C10" s="41">
        <v>81.307000000000002</v>
      </c>
      <c r="D10" s="41">
        <v>10023.33</v>
      </c>
      <c r="E10" s="41">
        <v>0</v>
      </c>
      <c r="F10" s="41">
        <v>42008.027000000002</v>
      </c>
      <c r="G10" s="42">
        <v>1.5065178367957501</v>
      </c>
    </row>
    <row r="11" spans="1:8" x14ac:dyDescent="0.3">
      <c r="A11" s="56" t="s">
        <v>85</v>
      </c>
      <c r="B11" s="41">
        <v>29125.02</v>
      </c>
      <c r="C11" s="41">
        <v>177.98</v>
      </c>
      <c r="D11" s="41">
        <v>21773.95</v>
      </c>
      <c r="E11" s="41">
        <v>0</v>
      </c>
      <c r="F11" s="41">
        <v>51076.95</v>
      </c>
      <c r="G11" s="42">
        <v>3.2726493143993887</v>
      </c>
    </row>
    <row r="12" spans="1:8" x14ac:dyDescent="0.3">
      <c r="A12" s="56" t="s">
        <v>80</v>
      </c>
      <c r="B12" s="41">
        <v>12019.699999999999</v>
      </c>
      <c r="C12" s="41">
        <v>1817.672</v>
      </c>
      <c r="D12" s="41">
        <v>2858.09</v>
      </c>
      <c r="E12" s="41">
        <v>0</v>
      </c>
      <c r="F12" s="41">
        <v>16695.462</v>
      </c>
      <c r="G12" s="42">
        <v>0.42957415990170589</v>
      </c>
    </row>
    <row r="13" spans="1:8" x14ac:dyDescent="0.3">
      <c r="A13" s="56" t="s">
        <v>52</v>
      </c>
      <c r="B13" s="41">
        <v>13443.710000000001</v>
      </c>
      <c r="C13" s="41">
        <v>0</v>
      </c>
      <c r="D13" s="41">
        <v>0</v>
      </c>
      <c r="E13" s="41">
        <v>0</v>
      </c>
      <c r="F13" s="41">
        <v>13443.710000000001</v>
      </c>
      <c r="G13" s="42">
        <v>0</v>
      </c>
    </row>
    <row r="14" spans="1:8" x14ac:dyDescent="0.3">
      <c r="A14" s="56" t="s">
        <v>104</v>
      </c>
      <c r="B14" s="41">
        <v>1332.09</v>
      </c>
      <c r="C14" s="41">
        <v>0</v>
      </c>
      <c r="D14" s="41">
        <v>198.78</v>
      </c>
      <c r="E14" s="41">
        <v>0</v>
      </c>
      <c r="F14" s="41">
        <v>1530.87</v>
      </c>
      <c r="G14" s="42">
        <v>2.987685884813323E-2</v>
      </c>
    </row>
    <row r="15" spans="1:8" x14ac:dyDescent="0.3">
      <c r="A15" s="56" t="s">
        <v>76</v>
      </c>
      <c r="B15" s="41">
        <v>18600.849999999999</v>
      </c>
      <c r="C15" s="41">
        <v>215</v>
      </c>
      <c r="D15" s="41">
        <v>4884.8</v>
      </c>
      <c r="E15" s="41">
        <v>0</v>
      </c>
      <c r="F15" s="41">
        <v>23700.649999999998</v>
      </c>
      <c r="G15" s="42">
        <v>0.73419096539571982</v>
      </c>
    </row>
    <row r="16" spans="1:8" x14ac:dyDescent="0.3">
      <c r="A16" s="56" t="s">
        <v>8</v>
      </c>
      <c r="B16" s="41">
        <v>135076.57247233333</v>
      </c>
      <c r="C16" s="41">
        <v>0</v>
      </c>
      <c r="D16" s="41">
        <v>0</v>
      </c>
      <c r="E16" s="41">
        <v>0</v>
      </c>
      <c r="F16" s="41">
        <v>135076.57247233333</v>
      </c>
      <c r="G16" s="42">
        <v>0</v>
      </c>
    </row>
    <row r="17" spans="1:7" x14ac:dyDescent="0.3">
      <c r="A17" s="56" t="s">
        <v>128</v>
      </c>
      <c r="B17" s="41">
        <v>640</v>
      </c>
      <c r="C17" s="41">
        <v>0</v>
      </c>
      <c r="D17" s="41">
        <v>109.4</v>
      </c>
      <c r="E17" s="41">
        <v>0</v>
      </c>
      <c r="F17" s="41">
        <v>749.4</v>
      </c>
      <c r="G17" s="42">
        <v>1.6442943746784257E-2</v>
      </c>
    </row>
    <row r="18" spans="1:7" x14ac:dyDescent="0.3">
      <c r="A18" s="56" t="s">
        <v>65</v>
      </c>
      <c r="B18" s="41">
        <v>41314.46</v>
      </c>
      <c r="C18" s="41">
        <v>0</v>
      </c>
      <c r="D18" s="41">
        <v>17569.560000000001</v>
      </c>
      <c r="E18" s="41">
        <v>1135.31</v>
      </c>
      <c r="F18" s="41">
        <v>60019.33</v>
      </c>
      <c r="G18" s="42">
        <v>2.6407247416430613</v>
      </c>
    </row>
    <row r="19" spans="1:7" x14ac:dyDescent="0.3">
      <c r="A19" s="56" t="s">
        <v>95</v>
      </c>
      <c r="B19" s="41">
        <v>73521.240000000005</v>
      </c>
      <c r="C19" s="41">
        <v>167.74</v>
      </c>
      <c r="D19" s="41">
        <v>47664.76</v>
      </c>
      <c r="E19" s="41">
        <v>0</v>
      </c>
      <c r="F19" s="41">
        <v>121353.74000000002</v>
      </c>
      <c r="G19" s="42">
        <v>7.1640673435463667</v>
      </c>
    </row>
    <row r="20" spans="1:7" x14ac:dyDescent="0.3">
      <c r="A20" s="56" t="s">
        <v>16</v>
      </c>
      <c r="B20" s="41">
        <v>76337.17</v>
      </c>
      <c r="C20" s="41">
        <v>0</v>
      </c>
      <c r="D20" s="41">
        <v>20664.91</v>
      </c>
      <c r="E20" s="41">
        <v>0</v>
      </c>
      <c r="F20" s="41">
        <v>97002.08</v>
      </c>
      <c r="G20" s="42">
        <v>3.1059593479191911</v>
      </c>
    </row>
    <row r="21" spans="1:7" x14ac:dyDescent="0.3">
      <c r="A21" s="56" t="s">
        <v>181</v>
      </c>
      <c r="B21" s="41">
        <v>1044.8900000000001</v>
      </c>
      <c r="C21" s="41">
        <v>29.77</v>
      </c>
      <c r="D21" s="41">
        <v>204.68</v>
      </c>
      <c r="E21" s="41">
        <v>0</v>
      </c>
      <c r="F21" s="41">
        <v>1279.3400000000001</v>
      </c>
      <c r="G21" s="42">
        <v>3.0763635521862912E-2</v>
      </c>
    </row>
    <row r="22" spans="1:7" x14ac:dyDescent="0.3">
      <c r="A22" s="56" t="s">
        <v>132</v>
      </c>
      <c r="B22" s="41">
        <v>26243.16</v>
      </c>
      <c r="C22" s="41">
        <v>875.86</v>
      </c>
      <c r="D22" s="41">
        <v>7344.96</v>
      </c>
      <c r="E22" s="41">
        <v>0</v>
      </c>
      <c r="F22" s="41">
        <v>34463.980000000003</v>
      </c>
      <c r="G22" s="42">
        <v>1.1039557961826372</v>
      </c>
    </row>
    <row r="23" spans="1:7" x14ac:dyDescent="0.3">
      <c r="A23" s="56" t="s">
        <v>241</v>
      </c>
      <c r="B23" s="41">
        <v>520</v>
      </c>
      <c r="C23" s="41">
        <v>0</v>
      </c>
      <c r="D23" s="41">
        <v>113.4</v>
      </c>
      <c r="E23" s="41">
        <v>0</v>
      </c>
      <c r="F23" s="41">
        <v>633.4</v>
      </c>
      <c r="G23" s="42">
        <v>1.7044148271346756E-2</v>
      </c>
    </row>
    <row r="24" spans="1:7" x14ac:dyDescent="0.3">
      <c r="A24" s="56" t="s">
        <v>121</v>
      </c>
      <c r="B24" s="41">
        <v>652.79999999999995</v>
      </c>
      <c r="C24" s="41">
        <v>0</v>
      </c>
      <c r="D24" s="41">
        <v>610.5</v>
      </c>
      <c r="E24" s="41">
        <v>0</v>
      </c>
      <c r="F24" s="41">
        <v>1263.3</v>
      </c>
      <c r="G24" s="42">
        <v>9.1758840561350918E-2</v>
      </c>
    </row>
    <row r="25" spans="1:7" x14ac:dyDescent="0.3">
      <c r="A25" s="56" t="s">
        <v>109</v>
      </c>
      <c r="B25" s="41">
        <v>5537.4480000000003</v>
      </c>
      <c r="C25" s="41">
        <v>0</v>
      </c>
      <c r="D25" s="41">
        <v>552.01</v>
      </c>
      <c r="E25" s="41">
        <v>0</v>
      </c>
      <c r="F25" s="41">
        <v>6089.4580000000005</v>
      </c>
      <c r="G25" s="42">
        <v>8.2967727400935817E-2</v>
      </c>
    </row>
    <row r="26" spans="1:7" x14ac:dyDescent="0.3">
      <c r="A26" s="56" t="s">
        <v>144</v>
      </c>
      <c r="B26" s="41">
        <v>15534.594999999999</v>
      </c>
      <c r="C26" s="41">
        <v>0</v>
      </c>
      <c r="D26" s="41">
        <v>4796.1229999999996</v>
      </c>
      <c r="E26" s="41">
        <v>0</v>
      </c>
      <c r="F26" s="41">
        <v>20330.718000000001</v>
      </c>
      <c r="G26" s="42">
        <v>0.72086271198956264</v>
      </c>
    </row>
    <row r="27" spans="1:7" s="53" customFormat="1" ht="14.25" x14ac:dyDescent="0.2">
      <c r="A27" s="49" t="s">
        <v>294</v>
      </c>
      <c r="B27" s="50">
        <v>511897.09547233325</v>
      </c>
      <c r="C27" s="50">
        <v>4768.3289999999997</v>
      </c>
      <c r="D27" s="50">
        <v>147530.253</v>
      </c>
      <c r="E27" s="50">
        <v>1135.31</v>
      </c>
      <c r="F27" s="50">
        <v>665330.98747233336</v>
      </c>
      <c r="G27" s="57">
        <v>22.173963903362427</v>
      </c>
    </row>
  </sheetData>
  <mergeCells count="5">
    <mergeCell ref="A2:G2"/>
    <mergeCell ref="A3:G3"/>
    <mergeCell ref="A6:A7"/>
    <mergeCell ref="B6:F6"/>
    <mergeCell ref="G6:G7"/>
  </mergeCells>
  <printOptions horizontalCentered="1"/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7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0"/>
  <sheetViews>
    <sheetView topLeftCell="A40" zoomScale="115" zoomScaleNormal="115" workbookViewId="0">
      <selection activeCell="W76" sqref="A1:W76"/>
    </sheetView>
  </sheetViews>
  <sheetFormatPr defaultRowHeight="15" x14ac:dyDescent="0.25"/>
  <cols>
    <col min="1" max="1" width="10.7109375" customWidth="1"/>
    <col min="2" max="2" width="37.140625" customWidth="1"/>
    <col min="3" max="3" width="14" customWidth="1"/>
    <col min="4" max="5" width="12.28515625" customWidth="1"/>
    <col min="6" max="6" width="11" customWidth="1"/>
    <col min="7" max="7" width="27.7109375" hidden="1" customWidth="1"/>
    <col min="8" max="8" width="27.140625" hidden="1" customWidth="1"/>
    <col min="9" max="10" width="14.5703125" hidden="1" customWidth="1"/>
    <col min="11" max="11" width="22.85546875" style="1" hidden="1" customWidth="1"/>
    <col min="12" max="16" width="14.140625" style="2" hidden="1" customWidth="1"/>
    <col min="17" max="17" width="15" hidden="1" customWidth="1"/>
    <col min="18" max="18" width="15" style="19" customWidth="1"/>
    <col min="19" max="22" width="20" style="19" customWidth="1"/>
    <col min="23" max="23" width="20" style="31" customWidth="1"/>
    <col min="25" max="25" width="12.28515625" customWidth="1"/>
    <col min="26" max="26" width="25.5703125" style="31" customWidth="1"/>
    <col min="27" max="27" width="18.140625" customWidth="1"/>
    <col min="28" max="28" width="19.42578125" customWidth="1"/>
    <col min="29" max="29" width="26.5703125" customWidth="1"/>
  </cols>
  <sheetData>
    <row r="1" spans="1:29" s="18" customFormat="1" ht="32.25" customHeight="1" x14ac:dyDescent="0.25">
      <c r="A1" s="14" t="s">
        <v>0</v>
      </c>
      <c r="B1" s="14" t="s">
        <v>261</v>
      </c>
      <c r="C1" s="14" t="s">
        <v>1</v>
      </c>
      <c r="D1" s="14" t="s">
        <v>253</v>
      </c>
      <c r="E1" s="14" t="s">
        <v>254</v>
      </c>
      <c r="F1" s="14" t="s">
        <v>255</v>
      </c>
      <c r="G1" s="14" t="s">
        <v>2</v>
      </c>
      <c r="H1" s="14" t="s">
        <v>3</v>
      </c>
      <c r="I1" s="15" t="s">
        <v>260</v>
      </c>
      <c r="J1" s="14" t="s">
        <v>256</v>
      </c>
      <c r="K1" s="15" t="s">
        <v>259</v>
      </c>
      <c r="L1" s="16" t="s">
        <v>252</v>
      </c>
      <c r="M1" s="16" t="s">
        <v>251</v>
      </c>
      <c r="N1" s="16" t="s">
        <v>250</v>
      </c>
      <c r="O1" s="17" t="s">
        <v>257</v>
      </c>
      <c r="P1" s="17" t="s">
        <v>258</v>
      </c>
      <c r="Q1" s="14" t="s">
        <v>262</v>
      </c>
      <c r="R1" s="21" t="s">
        <v>271</v>
      </c>
      <c r="S1" s="22" t="s">
        <v>263</v>
      </c>
      <c r="T1" s="22" t="s">
        <v>272</v>
      </c>
      <c r="U1" s="22" t="s">
        <v>273</v>
      </c>
      <c r="V1" s="22" t="s">
        <v>274</v>
      </c>
      <c r="W1" s="29" t="s">
        <v>275</v>
      </c>
      <c r="Y1" s="14" t="s">
        <v>1</v>
      </c>
      <c r="Z1" s="34" t="s">
        <v>276</v>
      </c>
    </row>
    <row r="2" spans="1:29" ht="30" customHeight="1" x14ac:dyDescent="0.25">
      <c r="A2" s="10" t="s">
        <v>4</v>
      </c>
      <c r="B2" s="10" t="s">
        <v>5</v>
      </c>
      <c r="C2" s="10" t="s">
        <v>8</v>
      </c>
      <c r="D2" s="10" t="s">
        <v>6</v>
      </c>
      <c r="E2" s="11" t="s">
        <v>6</v>
      </c>
      <c r="F2" s="10" t="s">
        <v>7</v>
      </c>
      <c r="G2" s="10" t="s">
        <v>9</v>
      </c>
      <c r="H2" s="10" t="s">
        <v>10</v>
      </c>
      <c r="I2" s="10" t="s">
        <v>11</v>
      </c>
      <c r="J2" s="11" t="s">
        <v>19</v>
      </c>
      <c r="K2" s="11" t="s">
        <v>19</v>
      </c>
      <c r="L2" s="12">
        <v>41926</v>
      </c>
      <c r="M2" s="12">
        <v>42016</v>
      </c>
      <c r="N2" s="12">
        <v>42369</v>
      </c>
      <c r="O2" s="6"/>
      <c r="P2" s="13">
        <v>42369</v>
      </c>
      <c r="Q2" s="10" t="s">
        <v>12</v>
      </c>
      <c r="R2" s="20">
        <v>300</v>
      </c>
      <c r="S2" s="23">
        <v>13443.710000000001</v>
      </c>
      <c r="T2" s="23">
        <v>13443.71</v>
      </c>
      <c r="U2" s="23">
        <v>0</v>
      </c>
      <c r="V2" s="23">
        <v>0</v>
      </c>
      <c r="W2" s="30">
        <f>V2/S2</f>
        <v>0</v>
      </c>
      <c r="Y2" s="32" t="s">
        <v>8</v>
      </c>
      <c r="Z2" s="35">
        <f>AVERAGEIF($C:$C,Y2,$W:$W)</f>
        <v>0</v>
      </c>
      <c r="AA2" t="str">
        <f>IF(Z2&gt;30%,"30% and Above",IF(AND(Z2&gt;20.01%,Z2&lt;29.99%),"20% - 29%",IF(AND(Z2&gt;1.01%,Z2&lt;19.99%),"1% - 19%","None")))</f>
        <v>None</v>
      </c>
      <c r="AB2" s="36" t="s">
        <v>277</v>
      </c>
      <c r="AC2" s="36" t="s">
        <v>281</v>
      </c>
    </row>
    <row r="3" spans="1:29" ht="30" customHeight="1" x14ac:dyDescent="0.25">
      <c r="A3" s="3" t="s">
        <v>13</v>
      </c>
      <c r="B3" s="3" t="s">
        <v>14</v>
      </c>
      <c r="C3" s="3" t="s">
        <v>16</v>
      </c>
      <c r="D3" s="3" t="s">
        <v>15</v>
      </c>
      <c r="E3" s="3" t="s">
        <v>15</v>
      </c>
      <c r="F3" s="3" t="s">
        <v>7</v>
      </c>
      <c r="G3" s="3" t="s">
        <v>17</v>
      </c>
      <c r="H3" s="3" t="s">
        <v>18</v>
      </c>
      <c r="I3" s="3" t="s">
        <v>11</v>
      </c>
      <c r="J3" s="3" t="s">
        <v>19</v>
      </c>
      <c r="K3" s="3" t="s">
        <v>19</v>
      </c>
      <c r="L3" s="5">
        <v>40435</v>
      </c>
      <c r="M3" s="5">
        <v>40555</v>
      </c>
      <c r="N3" s="5">
        <v>42460</v>
      </c>
      <c r="O3" s="6"/>
      <c r="P3" s="7">
        <v>42460</v>
      </c>
      <c r="Q3" s="3" t="s">
        <v>20</v>
      </c>
      <c r="R3" s="20">
        <v>400</v>
      </c>
      <c r="S3" s="24">
        <v>21782</v>
      </c>
      <c r="T3" s="24">
        <v>17230</v>
      </c>
      <c r="U3" s="24">
        <v>0</v>
      </c>
      <c r="V3" s="24">
        <v>4552</v>
      </c>
      <c r="W3" s="30">
        <f t="shared" ref="W3:W66" si="0">V3/S3</f>
        <v>0.20897989165365899</v>
      </c>
      <c r="Y3" s="33" t="s">
        <v>16</v>
      </c>
      <c r="Z3" s="35">
        <f t="shared" ref="Z3:Z20" si="1">AVERAGEIF($C:$C,Y3,$W:$W)</f>
        <v>0.21524846853300333</v>
      </c>
      <c r="AA3" t="str">
        <f t="shared" ref="AA3:AA20" si="2">IF(Z3&gt;30%,"30% and Above",IF(AND(Z3&gt;20.01%,Z3&lt;29.99%),"20% - 29%",IF(AND(Z3&gt;1.01%,Z3&lt;19.99%),"1% - 19%","None")))</f>
        <v>20% - 29%</v>
      </c>
      <c r="AB3" s="36" t="s">
        <v>278</v>
      </c>
      <c r="AC3" s="36" t="s">
        <v>282</v>
      </c>
    </row>
    <row r="4" spans="1:29" ht="30" customHeight="1" x14ac:dyDescent="0.25">
      <c r="A4" s="3" t="s">
        <v>21</v>
      </c>
      <c r="B4" s="3" t="s">
        <v>22</v>
      </c>
      <c r="C4" s="3" t="s">
        <v>8</v>
      </c>
      <c r="D4" s="3" t="s">
        <v>15</v>
      </c>
      <c r="E4" s="3" t="s">
        <v>15</v>
      </c>
      <c r="F4" s="3" t="s">
        <v>7</v>
      </c>
      <c r="G4" s="3" t="s">
        <v>9</v>
      </c>
      <c r="H4" s="3" t="s">
        <v>23</v>
      </c>
      <c r="I4" s="3" t="s">
        <v>11</v>
      </c>
      <c r="J4" s="3" t="s">
        <v>19</v>
      </c>
      <c r="K4" s="3" t="s">
        <v>19</v>
      </c>
      <c r="L4" s="5">
        <v>41631</v>
      </c>
      <c r="M4" s="5">
        <v>41698</v>
      </c>
      <c r="N4" s="5">
        <v>42004</v>
      </c>
      <c r="O4" s="5">
        <v>42185</v>
      </c>
      <c r="P4" s="7">
        <v>42185</v>
      </c>
      <c r="Q4" s="3" t="s">
        <v>20</v>
      </c>
      <c r="R4" s="20">
        <v>500</v>
      </c>
      <c r="S4" s="23">
        <v>22406.183333333334</v>
      </c>
      <c r="T4" s="23">
        <v>22406.183333333334</v>
      </c>
      <c r="U4" s="23">
        <v>0</v>
      </c>
      <c r="V4" s="23">
        <v>0</v>
      </c>
      <c r="W4" s="30">
        <f t="shared" si="0"/>
        <v>0</v>
      </c>
      <c r="Y4" s="33" t="s">
        <v>38</v>
      </c>
      <c r="Z4" s="35">
        <f t="shared" si="1"/>
        <v>0.17788747021007004</v>
      </c>
      <c r="AA4" t="str">
        <f t="shared" si="2"/>
        <v>1% - 19%</v>
      </c>
      <c r="AB4" s="36" t="s">
        <v>279</v>
      </c>
      <c r="AC4" s="36" t="s">
        <v>283</v>
      </c>
    </row>
    <row r="5" spans="1:29" ht="30" customHeight="1" x14ac:dyDescent="0.25">
      <c r="A5" s="3" t="s">
        <v>24</v>
      </c>
      <c r="B5" s="3" t="s">
        <v>25</v>
      </c>
      <c r="C5" s="3" t="s">
        <v>8</v>
      </c>
      <c r="D5" s="3" t="s">
        <v>15</v>
      </c>
      <c r="E5" s="3" t="s">
        <v>15</v>
      </c>
      <c r="F5" s="3" t="s">
        <v>7</v>
      </c>
      <c r="G5" s="3" t="s">
        <v>9</v>
      </c>
      <c r="H5" s="3" t="s">
        <v>26</v>
      </c>
      <c r="I5" s="3" t="s">
        <v>11</v>
      </c>
      <c r="J5" s="3" t="s">
        <v>19</v>
      </c>
      <c r="K5" s="3" t="s">
        <v>19</v>
      </c>
      <c r="L5" s="5">
        <v>41684</v>
      </c>
      <c r="M5" s="5">
        <v>41786</v>
      </c>
      <c r="N5" s="5">
        <v>42004</v>
      </c>
      <c r="O5" s="6"/>
      <c r="P5" s="7">
        <v>42004</v>
      </c>
      <c r="Q5" s="3" t="s">
        <v>27</v>
      </c>
      <c r="R5" s="20">
        <v>250</v>
      </c>
      <c r="S5" s="23">
        <v>11203.091666666667</v>
      </c>
      <c r="T5" s="23">
        <v>11203.091666666667</v>
      </c>
      <c r="U5" s="23">
        <v>0</v>
      </c>
      <c r="V5" s="23">
        <v>0</v>
      </c>
      <c r="W5" s="30">
        <f t="shared" si="0"/>
        <v>0</v>
      </c>
      <c r="Y5" s="33" t="s">
        <v>52</v>
      </c>
      <c r="Z5" s="35">
        <f t="shared" si="1"/>
        <v>0</v>
      </c>
      <c r="AA5" t="str">
        <f t="shared" si="2"/>
        <v>None</v>
      </c>
      <c r="AB5" s="36" t="s">
        <v>280</v>
      </c>
      <c r="AC5" s="36" t="s">
        <v>284</v>
      </c>
    </row>
    <row r="6" spans="1:29" ht="33.75" customHeight="1" x14ac:dyDescent="0.25">
      <c r="A6" s="3" t="s">
        <v>28</v>
      </c>
      <c r="B6" s="3" t="s">
        <v>29</v>
      </c>
      <c r="C6" s="3" t="s">
        <v>8</v>
      </c>
      <c r="D6" s="3" t="s">
        <v>30</v>
      </c>
      <c r="E6" s="3" t="s">
        <v>30</v>
      </c>
      <c r="F6" s="3" t="s">
        <v>7</v>
      </c>
      <c r="G6" s="3" t="s">
        <v>31</v>
      </c>
      <c r="H6" s="3" t="s">
        <v>31</v>
      </c>
      <c r="I6" s="3" t="s">
        <v>11</v>
      </c>
      <c r="J6" s="3" t="s">
        <v>19</v>
      </c>
      <c r="K6" s="3" t="s">
        <v>19</v>
      </c>
      <c r="L6" s="5">
        <v>41192</v>
      </c>
      <c r="M6" s="5">
        <v>41260</v>
      </c>
      <c r="N6" s="5">
        <v>42355</v>
      </c>
      <c r="O6" s="6"/>
      <c r="P6" s="7">
        <v>42355</v>
      </c>
      <c r="Q6" s="3" t="s">
        <v>27</v>
      </c>
      <c r="R6" s="20">
        <v>75.94</v>
      </c>
      <c r="S6" s="23">
        <v>3403.051124666667</v>
      </c>
      <c r="T6" s="23">
        <v>3403.051124666667</v>
      </c>
      <c r="U6" s="23">
        <v>0</v>
      </c>
      <c r="V6" s="23">
        <v>0</v>
      </c>
      <c r="W6" s="30">
        <f t="shared" si="0"/>
        <v>0</v>
      </c>
      <c r="Y6" s="33" t="s">
        <v>65</v>
      </c>
      <c r="Z6" s="35">
        <f t="shared" si="1"/>
        <v>0.31053632171701334</v>
      </c>
      <c r="AA6" t="str">
        <f t="shared" si="2"/>
        <v>30% and Above</v>
      </c>
    </row>
    <row r="7" spans="1:29" ht="15" customHeight="1" x14ac:dyDescent="0.25">
      <c r="A7" s="3" t="s">
        <v>32</v>
      </c>
      <c r="B7" s="3" t="s">
        <v>33</v>
      </c>
      <c r="C7" s="3" t="s">
        <v>8</v>
      </c>
      <c r="D7" s="3" t="s">
        <v>30</v>
      </c>
      <c r="E7" s="3" t="s">
        <v>30</v>
      </c>
      <c r="F7" s="3" t="s">
        <v>7</v>
      </c>
      <c r="G7" s="3" t="s">
        <v>9</v>
      </c>
      <c r="H7" s="3" t="s">
        <v>23</v>
      </c>
      <c r="I7" s="3" t="s">
        <v>11</v>
      </c>
      <c r="J7" s="3" t="s">
        <v>19</v>
      </c>
      <c r="K7" s="3" t="s">
        <v>19</v>
      </c>
      <c r="L7" s="5">
        <v>41717</v>
      </c>
      <c r="M7" s="5">
        <v>41724</v>
      </c>
      <c r="N7" s="5">
        <v>42820</v>
      </c>
      <c r="O7" s="6"/>
      <c r="P7" s="7">
        <v>42820</v>
      </c>
      <c r="Q7" s="3" t="s">
        <v>20</v>
      </c>
      <c r="R7" s="20">
        <v>438.33</v>
      </c>
      <c r="S7" s="23">
        <v>19642.604681000001</v>
      </c>
      <c r="T7" s="23">
        <v>19642.604681000001</v>
      </c>
      <c r="U7" s="23">
        <v>0</v>
      </c>
      <c r="V7" s="23">
        <v>0</v>
      </c>
      <c r="W7" s="30">
        <f t="shared" si="0"/>
        <v>0</v>
      </c>
      <c r="Y7" s="33" t="s">
        <v>72</v>
      </c>
      <c r="Z7" s="35">
        <f t="shared" si="1"/>
        <v>0.28384401486356542</v>
      </c>
      <c r="AA7" t="str">
        <f t="shared" si="2"/>
        <v>20% - 29%</v>
      </c>
    </row>
    <row r="8" spans="1:29" ht="30" customHeight="1" x14ac:dyDescent="0.25">
      <c r="A8" s="3" t="s">
        <v>34</v>
      </c>
      <c r="B8" s="3" t="s">
        <v>35</v>
      </c>
      <c r="C8" s="3" t="s">
        <v>38</v>
      </c>
      <c r="D8" s="3" t="s">
        <v>36</v>
      </c>
      <c r="E8" s="3" t="s">
        <v>37</v>
      </c>
      <c r="F8" s="3" t="s">
        <v>7</v>
      </c>
      <c r="G8" s="3" t="s">
        <v>39</v>
      </c>
      <c r="H8" s="3" t="s">
        <v>40</v>
      </c>
      <c r="I8" s="3" t="s">
        <v>41</v>
      </c>
      <c r="J8" s="3" t="s">
        <v>42</v>
      </c>
      <c r="K8" s="3" t="s">
        <v>43</v>
      </c>
      <c r="L8" s="5">
        <v>40058</v>
      </c>
      <c r="M8" s="5">
        <v>40126</v>
      </c>
      <c r="N8" s="5">
        <v>42916</v>
      </c>
      <c r="O8" s="6"/>
      <c r="P8" s="7">
        <v>42916</v>
      </c>
      <c r="Q8" s="3" t="s">
        <v>20</v>
      </c>
      <c r="R8" s="20">
        <v>15.9</v>
      </c>
      <c r="S8" s="25">
        <v>1943</v>
      </c>
      <c r="T8" s="25">
        <v>731</v>
      </c>
      <c r="U8" s="25">
        <v>651</v>
      </c>
      <c r="V8" s="25">
        <v>560.72</v>
      </c>
      <c r="W8" s="30">
        <f t="shared" si="0"/>
        <v>0.2885846628924344</v>
      </c>
      <c r="Y8" s="33" t="s">
        <v>76</v>
      </c>
      <c r="Z8" s="35">
        <f t="shared" si="1"/>
        <v>0.25294772913725172</v>
      </c>
      <c r="AA8" t="str">
        <f t="shared" si="2"/>
        <v>20% - 29%</v>
      </c>
    </row>
    <row r="9" spans="1:29" ht="30" customHeight="1" x14ac:dyDescent="0.25">
      <c r="A9" s="3" t="s">
        <v>44</v>
      </c>
      <c r="B9" s="3" t="s">
        <v>45</v>
      </c>
      <c r="C9" s="3" t="s">
        <v>8</v>
      </c>
      <c r="D9" s="3" t="s">
        <v>6</v>
      </c>
      <c r="E9" s="3" t="s">
        <v>6</v>
      </c>
      <c r="F9" s="3" t="s">
        <v>7</v>
      </c>
      <c r="G9" s="3" t="s">
        <v>9</v>
      </c>
      <c r="H9" s="3" t="s">
        <v>10</v>
      </c>
      <c r="I9" s="3" t="s">
        <v>11</v>
      </c>
      <c r="J9" s="3" t="s">
        <v>19</v>
      </c>
      <c r="K9" s="3" t="s">
        <v>19</v>
      </c>
      <c r="L9" s="5">
        <v>41384</v>
      </c>
      <c r="M9" s="5">
        <v>41460</v>
      </c>
      <c r="N9" s="5">
        <v>42004</v>
      </c>
      <c r="O9" s="6"/>
      <c r="P9" s="7">
        <v>42004</v>
      </c>
      <c r="Q9" s="3" t="s">
        <v>27</v>
      </c>
      <c r="R9" s="20">
        <v>300</v>
      </c>
      <c r="S9" s="23">
        <v>13443.710000000001</v>
      </c>
      <c r="T9" s="23">
        <v>13443.71</v>
      </c>
      <c r="U9" s="23">
        <v>0</v>
      </c>
      <c r="V9" s="23">
        <v>0</v>
      </c>
      <c r="W9" s="30">
        <f t="shared" si="0"/>
        <v>0</v>
      </c>
      <c r="Y9" s="33" t="s">
        <v>80</v>
      </c>
      <c r="Z9" s="35">
        <f t="shared" si="1"/>
        <v>0.18758116834884597</v>
      </c>
      <c r="AA9" t="str">
        <f t="shared" si="2"/>
        <v>1% - 19%</v>
      </c>
    </row>
    <row r="10" spans="1:29" ht="30" customHeight="1" x14ac:dyDescent="0.25">
      <c r="A10" s="3" t="s">
        <v>46</v>
      </c>
      <c r="B10" s="3" t="s">
        <v>47</v>
      </c>
      <c r="C10" s="3" t="s">
        <v>16</v>
      </c>
      <c r="D10" s="3" t="s">
        <v>6</v>
      </c>
      <c r="E10" s="3" t="s">
        <v>6</v>
      </c>
      <c r="F10" s="3" t="s">
        <v>7</v>
      </c>
      <c r="G10" s="3" t="s">
        <v>17</v>
      </c>
      <c r="H10" s="3" t="s">
        <v>18</v>
      </c>
      <c r="I10" s="3" t="s">
        <v>11</v>
      </c>
      <c r="J10" s="3" t="s">
        <v>19</v>
      </c>
      <c r="K10" s="3" t="s">
        <v>19</v>
      </c>
      <c r="L10" s="5">
        <v>40185</v>
      </c>
      <c r="M10" s="5">
        <v>40228</v>
      </c>
      <c r="N10" s="5">
        <v>41820</v>
      </c>
      <c r="O10" s="5">
        <v>42369</v>
      </c>
      <c r="P10" s="7">
        <v>42369</v>
      </c>
      <c r="Q10" s="3" t="s">
        <v>20</v>
      </c>
      <c r="R10" s="20">
        <v>405</v>
      </c>
      <c r="S10" s="24">
        <v>22013</v>
      </c>
      <c r="T10" s="24">
        <v>17413</v>
      </c>
      <c r="U10" s="24">
        <v>0</v>
      </c>
      <c r="V10" s="24">
        <v>4601</v>
      </c>
      <c r="W10" s="30">
        <f t="shared" si="0"/>
        <v>0.20901285603961295</v>
      </c>
      <c r="Y10" s="33" t="s">
        <v>85</v>
      </c>
      <c r="Z10" s="35">
        <f t="shared" si="1"/>
        <v>0.35987775483711337</v>
      </c>
      <c r="AA10" t="str">
        <f t="shared" si="2"/>
        <v>30% and Above</v>
      </c>
    </row>
    <row r="11" spans="1:29" ht="30" customHeight="1" x14ac:dyDescent="0.25">
      <c r="A11" s="3" t="s">
        <v>48</v>
      </c>
      <c r="B11" s="3" t="s">
        <v>49</v>
      </c>
      <c r="C11" s="3" t="s">
        <v>16</v>
      </c>
      <c r="D11" s="3" t="s">
        <v>6</v>
      </c>
      <c r="E11" s="3" t="s">
        <v>6</v>
      </c>
      <c r="F11" s="3" t="s">
        <v>7</v>
      </c>
      <c r="G11" s="3" t="s">
        <v>17</v>
      </c>
      <c r="H11" s="3" t="s">
        <v>18</v>
      </c>
      <c r="I11" s="3" t="s">
        <v>11</v>
      </c>
      <c r="J11" s="3" t="s">
        <v>19</v>
      </c>
      <c r="K11" s="3" t="s">
        <v>19</v>
      </c>
      <c r="L11" s="5">
        <v>41304</v>
      </c>
      <c r="M11" s="5">
        <v>41396</v>
      </c>
      <c r="N11" s="5">
        <v>42369</v>
      </c>
      <c r="O11" s="6"/>
      <c r="P11" s="7">
        <v>42369</v>
      </c>
      <c r="Q11" s="3" t="s">
        <v>20</v>
      </c>
      <c r="R11" s="20">
        <v>100</v>
      </c>
      <c r="S11" s="24">
        <v>5786</v>
      </c>
      <c r="T11" s="24">
        <v>4339</v>
      </c>
      <c r="U11" s="24">
        <v>0</v>
      </c>
      <c r="V11" s="24">
        <v>1446</v>
      </c>
      <c r="W11" s="30">
        <f t="shared" si="0"/>
        <v>0.24991358451434498</v>
      </c>
      <c r="Y11" s="33" t="s">
        <v>95</v>
      </c>
      <c r="Z11" s="35">
        <f t="shared" si="1"/>
        <v>0.31859083916609648</v>
      </c>
      <c r="AA11" t="str">
        <f t="shared" si="2"/>
        <v>30% and Above</v>
      </c>
    </row>
    <row r="12" spans="1:29" ht="30" customHeight="1" x14ac:dyDescent="0.25">
      <c r="A12" s="3" t="s">
        <v>50</v>
      </c>
      <c r="B12" s="3" t="s">
        <v>51</v>
      </c>
      <c r="C12" s="3" t="s">
        <v>52</v>
      </c>
      <c r="D12" s="3" t="s">
        <v>6</v>
      </c>
      <c r="E12" s="3" t="s">
        <v>6</v>
      </c>
      <c r="F12" s="3" t="s">
        <v>7</v>
      </c>
      <c r="G12" s="3" t="s">
        <v>17</v>
      </c>
      <c r="H12" s="3" t="s">
        <v>53</v>
      </c>
      <c r="I12" s="3" t="s">
        <v>41</v>
      </c>
      <c r="J12" s="3" t="s">
        <v>42</v>
      </c>
      <c r="K12" s="3" t="s">
        <v>54</v>
      </c>
      <c r="L12" s="5">
        <v>41739</v>
      </c>
      <c r="M12" s="5">
        <v>41814</v>
      </c>
      <c r="N12" s="5">
        <v>43343</v>
      </c>
      <c r="O12" s="6"/>
      <c r="P12" s="7">
        <v>43343</v>
      </c>
      <c r="Q12" s="3" t="s">
        <v>20</v>
      </c>
      <c r="R12" s="20">
        <v>300</v>
      </c>
      <c r="S12" s="24">
        <v>13443.710000000001</v>
      </c>
      <c r="T12" s="24">
        <v>13443.710000000001</v>
      </c>
      <c r="U12" s="24">
        <v>0</v>
      </c>
      <c r="V12" s="24">
        <v>0</v>
      </c>
      <c r="W12" s="30">
        <f t="shared" si="0"/>
        <v>0</v>
      </c>
      <c r="Y12" s="33" t="s">
        <v>104</v>
      </c>
      <c r="Z12" s="35">
        <f t="shared" si="1"/>
        <v>0.129846885451505</v>
      </c>
      <c r="AA12" t="str">
        <f t="shared" si="2"/>
        <v>1% - 19%</v>
      </c>
    </row>
    <row r="13" spans="1:29" ht="30" customHeight="1" x14ac:dyDescent="0.25">
      <c r="A13" s="3" t="s">
        <v>55</v>
      </c>
      <c r="B13" s="3" t="s">
        <v>56</v>
      </c>
      <c r="C13" s="3" t="s">
        <v>8</v>
      </c>
      <c r="D13" s="3" t="s">
        <v>6</v>
      </c>
      <c r="E13" s="3" t="s">
        <v>6</v>
      </c>
      <c r="F13" s="3" t="s">
        <v>7</v>
      </c>
      <c r="G13" s="3" t="s">
        <v>17</v>
      </c>
      <c r="H13" s="3" t="s">
        <v>18</v>
      </c>
      <c r="I13" s="3" t="s">
        <v>11</v>
      </c>
      <c r="J13" s="3" t="s">
        <v>19</v>
      </c>
      <c r="K13" s="4" t="s">
        <v>19</v>
      </c>
      <c r="L13" s="5">
        <v>40809</v>
      </c>
      <c r="M13" s="5">
        <v>40892</v>
      </c>
      <c r="N13" s="5">
        <v>41943</v>
      </c>
      <c r="O13" s="6"/>
      <c r="P13" s="7">
        <v>41943</v>
      </c>
      <c r="Q13" s="3" t="s">
        <v>27</v>
      </c>
      <c r="R13" s="20">
        <v>500</v>
      </c>
      <c r="S13" s="23">
        <v>22406.183333333334</v>
      </c>
      <c r="T13" s="23">
        <v>22406.183333333334</v>
      </c>
      <c r="U13" s="23">
        <v>0</v>
      </c>
      <c r="V13" s="23">
        <v>0</v>
      </c>
      <c r="W13" s="30">
        <f t="shared" si="0"/>
        <v>0</v>
      </c>
      <c r="Y13" s="33" t="s">
        <v>109</v>
      </c>
      <c r="Z13" s="35">
        <f t="shared" si="1"/>
        <v>9.0648612867092776E-2</v>
      </c>
      <c r="AA13" t="str">
        <f t="shared" si="2"/>
        <v>1% - 19%</v>
      </c>
    </row>
    <row r="14" spans="1:29" ht="45" customHeight="1" x14ac:dyDescent="0.25">
      <c r="A14" s="3" t="s">
        <v>57</v>
      </c>
      <c r="B14" s="3" t="s">
        <v>58</v>
      </c>
      <c r="C14" s="3" t="s">
        <v>8</v>
      </c>
      <c r="D14" s="3" t="s">
        <v>6</v>
      </c>
      <c r="E14" s="3" t="s">
        <v>6</v>
      </c>
      <c r="F14" s="3" t="s">
        <v>7</v>
      </c>
      <c r="G14" s="3" t="s">
        <v>9</v>
      </c>
      <c r="H14" s="3" t="s">
        <v>23</v>
      </c>
      <c r="I14" s="3" t="s">
        <v>11</v>
      </c>
      <c r="J14" s="3" t="s">
        <v>19</v>
      </c>
      <c r="K14" s="3" t="s">
        <v>19</v>
      </c>
      <c r="L14" s="5">
        <v>41631</v>
      </c>
      <c r="M14" s="5">
        <v>41709</v>
      </c>
      <c r="N14" s="5">
        <v>42004</v>
      </c>
      <c r="O14" s="5">
        <v>42185</v>
      </c>
      <c r="P14" s="7">
        <v>42185</v>
      </c>
      <c r="Q14" s="3" t="s">
        <v>20</v>
      </c>
      <c r="R14" s="20">
        <v>500</v>
      </c>
      <c r="S14" s="23">
        <v>22406.183333333334</v>
      </c>
      <c r="T14" s="23">
        <v>22406.183333333334</v>
      </c>
      <c r="U14" s="23">
        <v>0</v>
      </c>
      <c r="V14" s="23">
        <v>0</v>
      </c>
      <c r="W14" s="30">
        <f t="shared" si="0"/>
        <v>0</v>
      </c>
      <c r="Y14" s="33" t="s">
        <v>121</v>
      </c>
      <c r="Z14" s="35">
        <f t="shared" si="1"/>
        <v>0.48325813345998575</v>
      </c>
      <c r="AA14" t="str">
        <f t="shared" si="2"/>
        <v>30% and Above</v>
      </c>
    </row>
    <row r="15" spans="1:29" ht="45" x14ac:dyDescent="0.25">
      <c r="A15" s="3" t="s">
        <v>59</v>
      </c>
      <c r="B15" s="3" t="s">
        <v>60</v>
      </c>
      <c r="C15" s="3" t="s">
        <v>38</v>
      </c>
      <c r="D15" s="3" t="s">
        <v>6</v>
      </c>
      <c r="E15" s="4" t="s">
        <v>6</v>
      </c>
      <c r="F15" s="3" t="s">
        <v>61</v>
      </c>
      <c r="G15" s="3" t="s">
        <v>39</v>
      </c>
      <c r="H15" s="8" t="s">
        <v>40</v>
      </c>
      <c r="I15" s="8" t="s">
        <v>41</v>
      </c>
      <c r="J15" s="8" t="s">
        <v>42</v>
      </c>
      <c r="K15" s="8" t="s">
        <v>248</v>
      </c>
      <c r="L15" s="5">
        <v>41890</v>
      </c>
      <c r="M15" s="5">
        <v>41976</v>
      </c>
      <c r="N15" s="5">
        <v>44347</v>
      </c>
      <c r="O15" s="6"/>
      <c r="P15" s="7">
        <v>44347</v>
      </c>
      <c r="Q15" s="3" t="s">
        <v>62</v>
      </c>
      <c r="R15" s="20">
        <v>501.25</v>
      </c>
      <c r="S15" s="25">
        <v>27535</v>
      </c>
      <c r="T15" s="25">
        <v>20551</v>
      </c>
      <c r="U15" s="25">
        <v>287</v>
      </c>
      <c r="V15" s="25">
        <v>6696.9400000000005</v>
      </c>
      <c r="W15" s="30">
        <f t="shared" si="0"/>
        <v>0.24321554385327768</v>
      </c>
      <c r="Y15" s="33" t="s">
        <v>128</v>
      </c>
      <c r="Z15" s="35">
        <f t="shared" si="1"/>
        <v>0.14598377290283901</v>
      </c>
      <c r="AA15" t="str">
        <f t="shared" si="2"/>
        <v>1% - 19%</v>
      </c>
    </row>
    <row r="16" spans="1:29" ht="15" customHeight="1" x14ac:dyDescent="0.25">
      <c r="A16" s="3" t="s">
        <v>63</v>
      </c>
      <c r="B16" s="3" t="s">
        <v>64</v>
      </c>
      <c r="C16" s="3" t="s">
        <v>65</v>
      </c>
      <c r="D16" s="3" t="s">
        <v>6</v>
      </c>
      <c r="E16" s="4" t="s">
        <v>6</v>
      </c>
      <c r="F16" s="3" t="s">
        <v>61</v>
      </c>
      <c r="G16" s="3" t="s">
        <v>66</v>
      </c>
      <c r="H16" s="3" t="s">
        <v>67</v>
      </c>
      <c r="I16" s="3" t="s">
        <v>68</v>
      </c>
      <c r="J16" s="3" t="s">
        <v>69</v>
      </c>
      <c r="K16" s="4" t="s">
        <v>69</v>
      </c>
      <c r="L16" s="5">
        <v>41926</v>
      </c>
      <c r="M16" s="5">
        <v>41976</v>
      </c>
      <c r="N16" s="5">
        <v>44377</v>
      </c>
      <c r="O16" s="6"/>
      <c r="P16" s="7">
        <v>44377</v>
      </c>
      <c r="Q16" s="3" t="s">
        <v>62</v>
      </c>
      <c r="R16" s="20">
        <v>141</v>
      </c>
      <c r="S16" s="25">
        <v>10617.96</v>
      </c>
      <c r="T16" s="25">
        <v>8392.1299999999992</v>
      </c>
      <c r="U16" s="25">
        <v>0</v>
      </c>
      <c r="V16" s="25">
        <v>2225.83</v>
      </c>
      <c r="W16" s="30">
        <f t="shared" si="0"/>
        <v>0.20962877991629278</v>
      </c>
      <c r="Y16" s="33" t="s">
        <v>132</v>
      </c>
      <c r="Z16" s="35">
        <f t="shared" si="1"/>
        <v>0.17408994368827352</v>
      </c>
      <c r="AA16" t="str">
        <f t="shared" si="2"/>
        <v>1% - 19%</v>
      </c>
    </row>
    <row r="17" spans="1:27" ht="30" customHeight="1" x14ac:dyDescent="0.25">
      <c r="A17" s="3" t="s">
        <v>70</v>
      </c>
      <c r="B17" s="3" t="s">
        <v>71</v>
      </c>
      <c r="C17" s="3" t="s">
        <v>72</v>
      </c>
      <c r="D17" s="3" t="s">
        <v>15</v>
      </c>
      <c r="E17" s="3" t="s">
        <v>15</v>
      </c>
      <c r="F17" s="3" t="s">
        <v>61</v>
      </c>
      <c r="G17" s="3" t="s">
        <v>39</v>
      </c>
      <c r="H17" s="3" t="s">
        <v>40</v>
      </c>
      <c r="I17" s="3" t="s">
        <v>41</v>
      </c>
      <c r="J17" s="3" t="s">
        <v>42</v>
      </c>
      <c r="K17" s="3" t="s">
        <v>73</v>
      </c>
      <c r="L17" s="5">
        <v>39790</v>
      </c>
      <c r="M17" s="5">
        <v>39876</v>
      </c>
      <c r="N17" s="5">
        <v>42185</v>
      </c>
      <c r="O17" s="5">
        <v>42551</v>
      </c>
      <c r="P17" s="7">
        <v>42551</v>
      </c>
      <c r="Q17" s="3" t="s">
        <v>20</v>
      </c>
      <c r="R17" s="20">
        <v>70</v>
      </c>
      <c r="S17" s="25">
        <v>8647.2099999999991</v>
      </c>
      <c r="T17" s="25">
        <v>4497.3500000000004</v>
      </c>
      <c r="U17" s="25">
        <v>0</v>
      </c>
      <c r="V17" s="25">
        <v>4149.8559999999998</v>
      </c>
      <c r="W17" s="30">
        <f t="shared" si="0"/>
        <v>0.4799069295183071</v>
      </c>
      <c r="Y17" s="33" t="s">
        <v>144</v>
      </c>
      <c r="Z17" s="35">
        <f t="shared" si="1"/>
        <v>0.24311063496160781</v>
      </c>
      <c r="AA17" t="str">
        <f t="shared" si="2"/>
        <v>20% - 29%</v>
      </c>
    </row>
    <row r="18" spans="1:27" ht="15" customHeight="1" x14ac:dyDescent="0.25">
      <c r="A18" s="3" t="s">
        <v>74</v>
      </c>
      <c r="B18" s="3" t="s">
        <v>75</v>
      </c>
      <c r="C18" s="3" t="s">
        <v>76</v>
      </c>
      <c r="D18" s="3" t="s">
        <v>15</v>
      </c>
      <c r="E18" s="3" t="s">
        <v>15</v>
      </c>
      <c r="F18" s="3" t="s">
        <v>61</v>
      </c>
      <c r="G18" s="3" t="s">
        <v>66</v>
      </c>
      <c r="H18" s="3" t="s">
        <v>77</v>
      </c>
      <c r="I18" s="3" t="s">
        <v>11</v>
      </c>
      <c r="J18" s="3" t="s">
        <v>19</v>
      </c>
      <c r="K18" s="3" t="s">
        <v>19</v>
      </c>
      <c r="L18" s="5">
        <v>39874</v>
      </c>
      <c r="M18" s="5">
        <v>39961</v>
      </c>
      <c r="N18" s="5">
        <v>40847</v>
      </c>
      <c r="O18" s="5">
        <v>41767</v>
      </c>
      <c r="P18" s="7">
        <v>41767</v>
      </c>
      <c r="Q18" s="3" t="s">
        <v>27</v>
      </c>
      <c r="R18" s="20">
        <v>24.54</v>
      </c>
      <c r="S18" s="26">
        <v>2028.65</v>
      </c>
      <c r="T18" s="26">
        <v>1400.85</v>
      </c>
      <c r="U18" s="26">
        <v>0</v>
      </c>
      <c r="V18" s="26">
        <v>627.79999999999995</v>
      </c>
      <c r="W18" s="30">
        <f t="shared" si="0"/>
        <v>0.30946688684593199</v>
      </c>
      <c r="Y18" s="33" t="s">
        <v>181</v>
      </c>
      <c r="Z18" s="35">
        <f t="shared" si="1"/>
        <v>0.15998874419622619</v>
      </c>
      <c r="AA18" t="str">
        <f t="shared" si="2"/>
        <v>1% - 19%</v>
      </c>
    </row>
    <row r="19" spans="1:27" ht="30" customHeight="1" x14ac:dyDescent="0.25">
      <c r="A19" s="37" t="s">
        <v>285</v>
      </c>
      <c r="B19" s="3" t="s">
        <v>79</v>
      </c>
      <c r="C19" s="3" t="s">
        <v>80</v>
      </c>
      <c r="D19" s="3" t="s">
        <v>15</v>
      </c>
      <c r="E19" s="3" t="s">
        <v>15</v>
      </c>
      <c r="F19" s="3" t="s">
        <v>61</v>
      </c>
      <c r="G19" s="3" t="s">
        <v>39</v>
      </c>
      <c r="H19" s="3" t="s">
        <v>81</v>
      </c>
      <c r="I19" s="3" t="s">
        <v>41</v>
      </c>
      <c r="J19" s="3" t="s">
        <v>42</v>
      </c>
      <c r="K19" s="3" t="s">
        <v>82</v>
      </c>
      <c r="L19" s="5">
        <v>41355</v>
      </c>
      <c r="M19" s="5">
        <v>41495</v>
      </c>
      <c r="N19" s="5">
        <v>44196</v>
      </c>
      <c r="O19" s="6"/>
      <c r="P19" s="7">
        <v>44196</v>
      </c>
      <c r="Q19" s="3" t="s">
        <v>20</v>
      </c>
      <c r="R19" s="20">
        <v>100</v>
      </c>
      <c r="S19" s="25">
        <v>5986.46</v>
      </c>
      <c r="T19" s="25">
        <v>5160</v>
      </c>
      <c r="U19" s="25">
        <v>168.13</v>
      </c>
      <c r="V19" s="25">
        <v>658.33</v>
      </c>
      <c r="W19" s="30">
        <f t="shared" si="0"/>
        <v>0.10996983192070106</v>
      </c>
      <c r="Y19" s="33" t="s">
        <v>235</v>
      </c>
      <c r="Z19" s="35">
        <f t="shared" si="1"/>
        <v>0.15213469633193025</v>
      </c>
      <c r="AA19" t="str">
        <f t="shared" si="2"/>
        <v>1% - 19%</v>
      </c>
    </row>
    <row r="20" spans="1:27" ht="27" customHeight="1" x14ac:dyDescent="0.25">
      <c r="A20" s="3" t="s">
        <v>83</v>
      </c>
      <c r="B20" s="3" t="s">
        <v>84</v>
      </c>
      <c r="C20" s="3" t="s">
        <v>85</v>
      </c>
      <c r="D20" s="3" t="s">
        <v>15</v>
      </c>
      <c r="E20" s="3" t="s">
        <v>15</v>
      </c>
      <c r="F20" s="3" t="s">
        <v>61</v>
      </c>
      <c r="G20" s="3" t="s">
        <v>17</v>
      </c>
      <c r="H20" s="3" t="s">
        <v>86</v>
      </c>
      <c r="I20" s="9" t="s">
        <v>41</v>
      </c>
      <c r="J20" s="9" t="s">
        <v>42</v>
      </c>
      <c r="K20" s="9" t="s">
        <v>248</v>
      </c>
      <c r="L20" s="5">
        <v>39930</v>
      </c>
      <c r="M20" s="5">
        <v>40044</v>
      </c>
      <c r="N20" s="5">
        <v>42235</v>
      </c>
      <c r="O20" s="6"/>
      <c r="P20" s="7">
        <v>42235</v>
      </c>
      <c r="Q20" s="3" t="s">
        <v>20</v>
      </c>
      <c r="R20" s="20">
        <v>31.84</v>
      </c>
      <c r="S20" s="25">
        <v>1751.37</v>
      </c>
      <c r="T20" s="25">
        <v>1385.02</v>
      </c>
      <c r="U20" s="25">
        <v>17.98</v>
      </c>
      <c r="V20" s="25">
        <v>348.37</v>
      </c>
      <c r="W20" s="30">
        <f t="shared" si="0"/>
        <v>0.19891285108229559</v>
      </c>
      <c r="Y20" s="33" t="s">
        <v>241</v>
      </c>
      <c r="Z20" s="35">
        <f t="shared" si="1"/>
        <v>0.1790324897892166</v>
      </c>
      <c r="AA20" t="str">
        <f t="shared" si="2"/>
        <v>1% - 19%</v>
      </c>
    </row>
    <row r="21" spans="1:27" ht="30" customHeight="1" x14ac:dyDescent="0.25">
      <c r="A21" s="3" t="s">
        <v>87</v>
      </c>
      <c r="B21" s="3" t="s">
        <v>88</v>
      </c>
      <c r="C21" s="3" t="s">
        <v>80</v>
      </c>
      <c r="D21" s="3" t="s">
        <v>15</v>
      </c>
      <c r="E21" s="3" t="s">
        <v>15</v>
      </c>
      <c r="F21" s="3" t="s">
        <v>61</v>
      </c>
      <c r="G21" s="3" t="s">
        <v>39</v>
      </c>
      <c r="H21" s="3" t="s">
        <v>81</v>
      </c>
      <c r="I21" s="3" t="s">
        <v>41</v>
      </c>
      <c r="J21" s="3" t="s">
        <v>42</v>
      </c>
      <c r="K21" s="3" t="s">
        <v>89</v>
      </c>
      <c r="L21" s="5">
        <v>39169</v>
      </c>
      <c r="M21" s="5">
        <v>39262</v>
      </c>
      <c r="N21" s="5">
        <v>41455</v>
      </c>
      <c r="O21" s="5">
        <v>41820</v>
      </c>
      <c r="P21" s="7">
        <v>41820</v>
      </c>
      <c r="Q21" s="3" t="s">
        <v>27</v>
      </c>
      <c r="R21" s="20">
        <v>21.22</v>
      </c>
      <c r="S21" s="25">
        <v>2270.25</v>
      </c>
      <c r="T21" s="25">
        <v>1026.78</v>
      </c>
      <c r="U21" s="25">
        <v>392.4</v>
      </c>
      <c r="V21" s="25">
        <v>851.07</v>
      </c>
      <c r="W21" s="30">
        <f t="shared" si="0"/>
        <v>0.37487941856623724</v>
      </c>
    </row>
    <row r="22" spans="1:27" ht="30" customHeight="1" x14ac:dyDescent="0.25">
      <c r="A22" s="3" t="s">
        <v>90</v>
      </c>
      <c r="B22" s="3" t="s">
        <v>91</v>
      </c>
      <c r="C22" s="3" t="s">
        <v>76</v>
      </c>
      <c r="D22" s="3" t="s">
        <v>15</v>
      </c>
      <c r="E22" s="3" t="s">
        <v>15</v>
      </c>
      <c r="F22" s="3" t="s">
        <v>61</v>
      </c>
      <c r="G22" s="3" t="s">
        <v>66</v>
      </c>
      <c r="H22" s="3" t="s">
        <v>77</v>
      </c>
      <c r="I22" s="3" t="s">
        <v>41</v>
      </c>
      <c r="J22" s="3" t="s">
        <v>42</v>
      </c>
      <c r="K22" s="3" t="s">
        <v>92</v>
      </c>
      <c r="L22" s="5">
        <v>41544</v>
      </c>
      <c r="M22" s="5">
        <v>41621</v>
      </c>
      <c r="N22" s="5">
        <v>43281</v>
      </c>
      <c r="O22" s="6"/>
      <c r="P22" s="7">
        <v>43281</v>
      </c>
      <c r="Q22" s="3" t="s">
        <v>20</v>
      </c>
      <c r="R22" s="20">
        <v>100</v>
      </c>
      <c r="S22" s="25">
        <v>21672</v>
      </c>
      <c r="T22" s="25">
        <v>17200</v>
      </c>
      <c r="U22" s="25">
        <v>215</v>
      </c>
      <c r="V22" s="25">
        <v>4257</v>
      </c>
      <c r="W22" s="30">
        <f t="shared" si="0"/>
        <v>0.19642857142857142</v>
      </c>
    </row>
    <row r="23" spans="1:27" ht="15" customHeight="1" x14ac:dyDescent="0.25">
      <c r="A23" s="3" t="s">
        <v>93</v>
      </c>
      <c r="B23" s="3" t="s">
        <v>94</v>
      </c>
      <c r="C23" s="3" t="s">
        <v>95</v>
      </c>
      <c r="D23" s="3" t="s">
        <v>15</v>
      </c>
      <c r="E23" s="3" t="s">
        <v>15</v>
      </c>
      <c r="F23" s="3" t="s">
        <v>61</v>
      </c>
      <c r="G23" s="3" t="s">
        <v>66</v>
      </c>
      <c r="H23" s="3" t="s">
        <v>67</v>
      </c>
      <c r="I23" s="3" t="s">
        <v>41</v>
      </c>
      <c r="J23" s="3" t="s">
        <v>42</v>
      </c>
      <c r="K23" s="3" t="s">
        <v>96</v>
      </c>
      <c r="L23" s="5">
        <v>40980</v>
      </c>
      <c r="M23" s="5">
        <v>41110</v>
      </c>
      <c r="N23" s="5">
        <v>42551</v>
      </c>
      <c r="O23" s="6"/>
      <c r="P23" s="7">
        <v>42551</v>
      </c>
      <c r="Q23" s="3" t="s">
        <v>20</v>
      </c>
      <c r="R23" s="20">
        <v>62</v>
      </c>
      <c r="S23" s="25">
        <v>6934.68</v>
      </c>
      <c r="T23" s="25">
        <v>3956</v>
      </c>
      <c r="U23" s="25">
        <v>0</v>
      </c>
      <c r="V23" s="25">
        <v>2978.68</v>
      </c>
      <c r="W23" s="30">
        <f t="shared" si="0"/>
        <v>0.42953387899657947</v>
      </c>
    </row>
    <row r="24" spans="1:27" ht="30" customHeight="1" x14ac:dyDescent="0.25">
      <c r="A24" s="3" t="s">
        <v>97</v>
      </c>
      <c r="B24" s="3" t="s">
        <v>98</v>
      </c>
      <c r="C24" s="3" t="s">
        <v>16</v>
      </c>
      <c r="D24" s="3" t="s">
        <v>15</v>
      </c>
      <c r="E24" s="3" t="s">
        <v>15</v>
      </c>
      <c r="F24" s="3" t="s">
        <v>61</v>
      </c>
      <c r="G24" s="3" t="s">
        <v>17</v>
      </c>
      <c r="H24" s="3" t="s">
        <v>18</v>
      </c>
      <c r="I24" s="3" t="s">
        <v>41</v>
      </c>
      <c r="J24" s="3" t="s">
        <v>42</v>
      </c>
      <c r="K24" s="3" t="s">
        <v>99</v>
      </c>
      <c r="L24" s="5">
        <v>41724</v>
      </c>
      <c r="M24" s="5">
        <v>41800</v>
      </c>
      <c r="N24" s="5">
        <v>43281</v>
      </c>
      <c r="O24" s="6"/>
      <c r="P24" s="7">
        <v>43281</v>
      </c>
      <c r="Q24" s="3" t="s">
        <v>20</v>
      </c>
      <c r="R24" s="20">
        <v>372.1</v>
      </c>
      <c r="S24" s="25">
        <v>43944</v>
      </c>
      <c r="T24" s="25">
        <v>34555</v>
      </c>
      <c r="U24" s="25">
        <v>0</v>
      </c>
      <c r="V24" s="25">
        <v>9389</v>
      </c>
      <c r="W24" s="30">
        <f t="shared" si="0"/>
        <v>0.21365829237210995</v>
      </c>
    </row>
    <row r="25" spans="1:27" ht="30" customHeight="1" x14ac:dyDescent="0.25">
      <c r="A25" s="3" t="s">
        <v>100</v>
      </c>
      <c r="B25" s="3" t="s">
        <v>91</v>
      </c>
      <c r="C25" s="3" t="s">
        <v>76</v>
      </c>
      <c r="D25" s="3" t="s">
        <v>15</v>
      </c>
      <c r="E25" s="3" t="s">
        <v>15</v>
      </c>
      <c r="F25" s="3" t="s">
        <v>61</v>
      </c>
      <c r="G25" s="3" t="s">
        <v>66</v>
      </c>
      <c r="H25" s="3" t="s">
        <v>77</v>
      </c>
      <c r="I25" s="3" t="s">
        <v>41</v>
      </c>
      <c r="J25" s="3" t="s">
        <v>42</v>
      </c>
      <c r="K25" s="3" t="s">
        <v>92</v>
      </c>
      <c r="L25" s="5">
        <v>41544</v>
      </c>
      <c r="M25" s="5">
        <v>41621</v>
      </c>
      <c r="N25" s="5">
        <v>43281</v>
      </c>
      <c r="O25" s="6"/>
      <c r="P25" s="7">
        <v>43281</v>
      </c>
      <c r="Q25" s="3" t="s">
        <v>20</v>
      </c>
      <c r="R25" s="20">
        <v>300</v>
      </c>
      <c r="S25" s="27" t="s">
        <v>267</v>
      </c>
      <c r="T25" s="27"/>
      <c r="U25" s="27"/>
      <c r="V25" s="27"/>
      <c r="W25" s="30"/>
    </row>
    <row r="26" spans="1:27" ht="30" customHeight="1" x14ac:dyDescent="0.25">
      <c r="A26" s="3" t="s">
        <v>101</v>
      </c>
      <c r="B26" s="3" t="s">
        <v>102</v>
      </c>
      <c r="C26" s="3" t="s">
        <v>104</v>
      </c>
      <c r="D26" s="3" t="s">
        <v>36</v>
      </c>
      <c r="E26" s="3" t="s">
        <v>103</v>
      </c>
      <c r="F26" s="3" t="s">
        <v>61</v>
      </c>
      <c r="G26" s="3" t="s">
        <v>9</v>
      </c>
      <c r="H26" s="3" t="s">
        <v>26</v>
      </c>
      <c r="I26" s="3" t="s">
        <v>11</v>
      </c>
      <c r="J26" s="3" t="s">
        <v>19</v>
      </c>
      <c r="K26" s="3" t="s">
        <v>19</v>
      </c>
      <c r="L26" s="5">
        <v>40920</v>
      </c>
      <c r="M26" s="5">
        <v>41004</v>
      </c>
      <c r="N26" s="5">
        <v>41734</v>
      </c>
      <c r="O26" s="6"/>
      <c r="P26" s="7">
        <v>41734</v>
      </c>
      <c r="Q26" s="3" t="s">
        <v>27</v>
      </c>
      <c r="R26" s="20">
        <v>25.64</v>
      </c>
      <c r="S26" s="24">
        <v>1530.88</v>
      </c>
      <c r="T26" s="24">
        <v>1332.09</v>
      </c>
      <c r="U26" s="24">
        <v>0</v>
      </c>
      <c r="V26" s="24">
        <v>198.78</v>
      </c>
      <c r="W26" s="30">
        <f t="shared" si="0"/>
        <v>0.129846885451505</v>
      </c>
    </row>
    <row r="27" spans="1:27" ht="30" customHeight="1" x14ac:dyDescent="0.25">
      <c r="A27" s="3" t="s">
        <v>105</v>
      </c>
      <c r="B27" s="3" t="s">
        <v>106</v>
      </c>
      <c r="C27" s="3" t="s">
        <v>109</v>
      </c>
      <c r="D27" s="3" t="s">
        <v>107</v>
      </c>
      <c r="E27" s="3" t="s">
        <v>108</v>
      </c>
      <c r="F27" s="3" t="s">
        <v>61</v>
      </c>
      <c r="G27" s="3" t="s">
        <v>66</v>
      </c>
      <c r="H27" s="3" t="s">
        <v>110</v>
      </c>
      <c r="I27" s="3" t="s">
        <v>111</v>
      </c>
      <c r="J27" s="3" t="s">
        <v>112</v>
      </c>
      <c r="K27" s="3" t="s">
        <v>112</v>
      </c>
      <c r="L27" s="5">
        <v>40185</v>
      </c>
      <c r="M27" s="5">
        <v>40305</v>
      </c>
      <c r="N27" s="5">
        <v>41766</v>
      </c>
      <c r="O27" s="6"/>
      <c r="P27" s="7">
        <v>41766</v>
      </c>
      <c r="Q27" s="3" t="s">
        <v>27</v>
      </c>
      <c r="R27" s="20">
        <v>115.328</v>
      </c>
      <c r="S27" s="24">
        <v>6089.5029999999997</v>
      </c>
      <c r="T27" s="24">
        <v>5537.4480000000003</v>
      </c>
      <c r="U27" s="24">
        <v>0</v>
      </c>
      <c r="V27" s="24">
        <v>552.005</v>
      </c>
      <c r="W27" s="30">
        <f t="shared" si="0"/>
        <v>9.0648612867092776E-2</v>
      </c>
    </row>
    <row r="28" spans="1:27" ht="15" customHeight="1" x14ac:dyDescent="0.25">
      <c r="A28" s="3" t="s">
        <v>113</v>
      </c>
      <c r="B28" s="3" t="s">
        <v>114</v>
      </c>
      <c r="C28" s="3" t="s">
        <v>72</v>
      </c>
      <c r="D28" s="3" t="s">
        <v>115</v>
      </c>
      <c r="E28" s="3" t="s">
        <v>116</v>
      </c>
      <c r="F28" s="3" t="s">
        <v>61</v>
      </c>
      <c r="G28" s="3" t="s">
        <v>66</v>
      </c>
      <c r="H28" s="3" t="s">
        <v>117</v>
      </c>
      <c r="I28" s="3" t="s">
        <v>11</v>
      </c>
      <c r="J28" s="3" t="s">
        <v>19</v>
      </c>
      <c r="K28" s="3" t="s">
        <v>19</v>
      </c>
      <c r="L28" s="5">
        <v>39806</v>
      </c>
      <c r="M28" s="5">
        <v>39863</v>
      </c>
      <c r="N28" s="5">
        <v>41324</v>
      </c>
      <c r="O28" s="5">
        <v>41689</v>
      </c>
      <c r="P28" s="7">
        <v>41689</v>
      </c>
      <c r="Q28" s="3" t="s">
        <v>27</v>
      </c>
      <c r="R28" s="20">
        <v>286.95</v>
      </c>
      <c r="S28" s="25">
        <v>18474.560000000001</v>
      </c>
      <c r="T28" s="25">
        <v>16511.09</v>
      </c>
      <c r="U28" s="25">
        <v>0</v>
      </c>
      <c r="V28" s="25">
        <v>1963.47</v>
      </c>
      <c r="W28" s="30">
        <f t="shared" si="0"/>
        <v>0.10627966241144579</v>
      </c>
    </row>
    <row r="29" spans="1:27" ht="15" customHeight="1" x14ac:dyDescent="0.25">
      <c r="A29" s="3" t="s">
        <v>118</v>
      </c>
      <c r="B29" s="3" t="s">
        <v>119</v>
      </c>
      <c r="C29" s="3" t="s">
        <v>121</v>
      </c>
      <c r="D29" s="3" t="s">
        <v>36</v>
      </c>
      <c r="E29" s="3" t="s">
        <v>120</v>
      </c>
      <c r="F29" s="3" t="s">
        <v>61</v>
      </c>
      <c r="G29" s="3" t="s">
        <v>66</v>
      </c>
      <c r="H29" s="3" t="s">
        <v>110</v>
      </c>
      <c r="I29" s="3" t="s">
        <v>41</v>
      </c>
      <c r="J29" s="3" t="s">
        <v>42</v>
      </c>
      <c r="K29" s="3" t="s">
        <v>122</v>
      </c>
      <c r="L29" s="5">
        <v>39994</v>
      </c>
      <c r="M29" s="5">
        <v>40630</v>
      </c>
      <c r="N29" s="5">
        <v>41639</v>
      </c>
      <c r="O29" s="5">
        <v>42369</v>
      </c>
      <c r="P29" s="7">
        <v>42369</v>
      </c>
      <c r="Q29" s="3" t="s">
        <v>20</v>
      </c>
      <c r="R29" s="20">
        <v>12.76</v>
      </c>
      <c r="S29" s="25">
        <v>1263.3</v>
      </c>
      <c r="T29" s="25">
        <v>652.79999999999995</v>
      </c>
      <c r="U29" s="25">
        <v>0</v>
      </c>
      <c r="V29" s="25">
        <v>610.5</v>
      </c>
      <c r="W29" s="30">
        <f t="shared" si="0"/>
        <v>0.48325813345998575</v>
      </c>
    </row>
    <row r="30" spans="1:27" ht="30" customHeight="1" x14ac:dyDescent="0.25">
      <c r="A30" s="3" t="s">
        <v>123</v>
      </c>
      <c r="B30" s="3" t="s">
        <v>124</v>
      </c>
      <c r="C30" s="3" t="s">
        <v>80</v>
      </c>
      <c r="D30" s="3" t="s">
        <v>115</v>
      </c>
      <c r="E30" s="3" t="s">
        <v>120</v>
      </c>
      <c r="F30" s="3" t="s">
        <v>61</v>
      </c>
      <c r="G30" s="3" t="s">
        <v>39</v>
      </c>
      <c r="H30" s="3" t="s">
        <v>81</v>
      </c>
      <c r="I30" s="3" t="s">
        <v>41</v>
      </c>
      <c r="J30" s="3" t="s">
        <v>42</v>
      </c>
      <c r="K30" s="3" t="s">
        <v>125</v>
      </c>
      <c r="L30" s="5">
        <v>39806</v>
      </c>
      <c r="M30" s="5">
        <v>40190</v>
      </c>
      <c r="N30" s="5">
        <v>42382</v>
      </c>
      <c r="O30" s="6"/>
      <c r="P30" s="7">
        <v>42382</v>
      </c>
      <c r="Q30" s="3" t="s">
        <v>20</v>
      </c>
      <c r="R30" s="20">
        <v>5</v>
      </c>
      <c r="S30" s="25">
        <v>568.75</v>
      </c>
      <c r="T30" s="25">
        <v>260</v>
      </c>
      <c r="U30" s="25">
        <v>195</v>
      </c>
      <c r="V30" s="25">
        <v>113.75</v>
      </c>
      <c r="W30" s="30">
        <f t="shared" si="0"/>
        <v>0.2</v>
      </c>
    </row>
    <row r="31" spans="1:27" ht="15" customHeight="1" x14ac:dyDescent="0.25">
      <c r="A31" s="4" t="s">
        <v>126</v>
      </c>
      <c r="B31" s="3" t="s">
        <v>127</v>
      </c>
      <c r="C31" s="3" t="s">
        <v>128</v>
      </c>
      <c r="D31" s="3" t="s">
        <v>115</v>
      </c>
      <c r="E31" s="3" t="s">
        <v>120</v>
      </c>
      <c r="F31" s="3" t="s">
        <v>61</v>
      </c>
      <c r="G31" s="3" t="s">
        <v>17</v>
      </c>
      <c r="H31" s="3" t="s">
        <v>86</v>
      </c>
      <c r="I31" s="3" t="s">
        <v>11</v>
      </c>
      <c r="J31" s="3" t="s">
        <v>42</v>
      </c>
      <c r="K31" s="3" t="s">
        <v>129</v>
      </c>
      <c r="L31" s="5">
        <v>39436</v>
      </c>
      <c r="M31" s="5">
        <v>39626</v>
      </c>
      <c r="N31" s="5">
        <v>40908</v>
      </c>
      <c r="O31" s="5">
        <v>42004</v>
      </c>
      <c r="P31" s="7">
        <v>42004</v>
      </c>
      <c r="Q31" s="3" t="s">
        <v>20</v>
      </c>
      <c r="R31" s="20">
        <v>12.513</v>
      </c>
      <c r="S31" s="24">
        <f>749398360/1000000</f>
        <v>749.39836000000003</v>
      </c>
      <c r="T31" s="24">
        <v>640</v>
      </c>
      <c r="U31" s="24">
        <v>0</v>
      </c>
      <c r="V31" s="24">
        <v>109.4</v>
      </c>
      <c r="W31" s="30">
        <f t="shared" si="0"/>
        <v>0.14598377290283901</v>
      </c>
    </row>
    <row r="32" spans="1:27" ht="30" customHeight="1" x14ac:dyDescent="0.25">
      <c r="A32" s="3" t="s">
        <v>130</v>
      </c>
      <c r="B32" s="3" t="s">
        <v>131</v>
      </c>
      <c r="C32" s="3" t="s">
        <v>132</v>
      </c>
      <c r="D32" s="3" t="s">
        <v>115</v>
      </c>
      <c r="E32" s="3" t="s">
        <v>120</v>
      </c>
      <c r="F32" s="3" t="s">
        <v>61</v>
      </c>
      <c r="G32" s="3" t="s">
        <v>66</v>
      </c>
      <c r="H32" s="3" t="s">
        <v>77</v>
      </c>
      <c r="I32" s="3" t="s">
        <v>11</v>
      </c>
      <c r="J32" s="3" t="s">
        <v>19</v>
      </c>
      <c r="K32" s="3" t="s">
        <v>19</v>
      </c>
      <c r="L32" s="5">
        <v>39806</v>
      </c>
      <c r="M32" s="5">
        <v>40140</v>
      </c>
      <c r="N32" s="5">
        <v>41274</v>
      </c>
      <c r="O32" s="5">
        <v>42019</v>
      </c>
      <c r="P32" s="7">
        <v>42019</v>
      </c>
      <c r="Q32" s="3" t="s">
        <v>20</v>
      </c>
      <c r="R32" s="20">
        <v>25.026</v>
      </c>
      <c r="S32" s="26">
        <v>1721.45</v>
      </c>
      <c r="T32" s="26">
        <v>1377.16</v>
      </c>
      <c r="U32" s="26">
        <v>0</v>
      </c>
      <c r="V32" s="26">
        <v>344.29</v>
      </c>
      <c r="W32" s="30">
        <f t="shared" si="0"/>
        <v>0.2</v>
      </c>
    </row>
    <row r="33" spans="1:23" ht="15" customHeight="1" x14ac:dyDescent="0.25">
      <c r="A33" s="3" t="s">
        <v>133</v>
      </c>
      <c r="B33" s="3" t="s">
        <v>134</v>
      </c>
      <c r="C33" s="3" t="s">
        <v>95</v>
      </c>
      <c r="D33" s="3" t="s">
        <v>30</v>
      </c>
      <c r="E33" s="3" t="s">
        <v>30</v>
      </c>
      <c r="F33" s="3" t="s">
        <v>61</v>
      </c>
      <c r="G33" s="3" t="s">
        <v>66</v>
      </c>
      <c r="H33" s="3" t="s">
        <v>110</v>
      </c>
      <c r="I33" s="3" t="s">
        <v>111</v>
      </c>
      <c r="J33" s="3" t="s">
        <v>112</v>
      </c>
      <c r="K33" s="3" t="s">
        <v>112</v>
      </c>
      <c r="L33" s="5">
        <v>39434</v>
      </c>
      <c r="M33" s="5">
        <v>39553</v>
      </c>
      <c r="N33" s="5">
        <v>42109</v>
      </c>
      <c r="O33" s="6"/>
      <c r="P33" s="7">
        <v>42109</v>
      </c>
      <c r="Q33" s="3" t="s">
        <v>20</v>
      </c>
      <c r="R33" s="20">
        <v>66.66</v>
      </c>
      <c r="S33" s="25">
        <v>5749.26</v>
      </c>
      <c r="T33" s="25">
        <v>3794.48</v>
      </c>
      <c r="U33" s="25">
        <v>0</v>
      </c>
      <c r="V33" s="25">
        <v>1954.78</v>
      </c>
      <c r="W33" s="30">
        <f t="shared" si="0"/>
        <v>0.34000549635953148</v>
      </c>
    </row>
    <row r="34" spans="1:23" ht="30" customHeight="1" x14ac:dyDescent="0.25">
      <c r="A34" s="3" t="s">
        <v>135</v>
      </c>
      <c r="B34" s="3" t="s">
        <v>136</v>
      </c>
      <c r="C34" s="3" t="s">
        <v>65</v>
      </c>
      <c r="D34" s="3" t="s">
        <v>30</v>
      </c>
      <c r="E34" s="3" t="s">
        <v>30</v>
      </c>
      <c r="F34" s="3" t="s">
        <v>61</v>
      </c>
      <c r="G34" s="3" t="s">
        <v>66</v>
      </c>
      <c r="H34" s="3" t="s">
        <v>67</v>
      </c>
      <c r="I34" s="3" t="s">
        <v>11</v>
      </c>
      <c r="J34" s="3" t="s">
        <v>19</v>
      </c>
      <c r="K34" s="3" t="s">
        <v>19</v>
      </c>
      <c r="L34" s="5">
        <v>41622</v>
      </c>
      <c r="M34" s="5">
        <v>41738</v>
      </c>
      <c r="N34" s="5">
        <v>44660</v>
      </c>
      <c r="O34" s="6"/>
      <c r="P34" s="7">
        <v>44660</v>
      </c>
      <c r="Q34" s="3" t="s">
        <v>20</v>
      </c>
      <c r="R34" s="20">
        <v>164.22</v>
      </c>
      <c r="S34" s="25">
        <v>9267</v>
      </c>
      <c r="T34" s="25">
        <v>7938</v>
      </c>
      <c r="U34" s="25">
        <v>0</v>
      </c>
      <c r="V34" s="25">
        <v>1329</v>
      </c>
      <c r="W34" s="30">
        <f t="shared" si="0"/>
        <v>0.14341210747814828</v>
      </c>
    </row>
    <row r="35" spans="1:23" ht="30" customHeight="1" x14ac:dyDescent="0.25">
      <c r="A35" s="3" t="s">
        <v>137</v>
      </c>
      <c r="B35" s="3" t="s">
        <v>138</v>
      </c>
      <c r="C35" s="3" t="s">
        <v>65</v>
      </c>
      <c r="D35" s="3" t="s">
        <v>30</v>
      </c>
      <c r="E35" s="3" t="s">
        <v>30</v>
      </c>
      <c r="F35" s="3" t="s">
        <v>61</v>
      </c>
      <c r="G35" s="3" t="s">
        <v>66</v>
      </c>
      <c r="H35" s="3" t="s">
        <v>67</v>
      </c>
      <c r="I35" s="3" t="s">
        <v>68</v>
      </c>
      <c r="J35" s="3" t="s">
        <v>69</v>
      </c>
      <c r="K35" s="3" t="s">
        <v>69</v>
      </c>
      <c r="L35" s="5">
        <v>41360</v>
      </c>
      <c r="M35" s="5">
        <v>41479</v>
      </c>
      <c r="N35" s="5">
        <v>44036</v>
      </c>
      <c r="O35" s="6"/>
      <c r="P35" s="7">
        <v>44036</v>
      </c>
      <c r="Q35" s="3" t="s">
        <v>20</v>
      </c>
      <c r="R35" s="20">
        <v>94.52</v>
      </c>
      <c r="S35" s="25">
        <v>7440</v>
      </c>
      <c r="T35" s="25">
        <v>5862</v>
      </c>
      <c r="U35" s="25">
        <v>0</v>
      </c>
      <c r="V35" s="25">
        <v>1578</v>
      </c>
      <c r="W35" s="30">
        <f t="shared" si="0"/>
        <v>0.21209677419354839</v>
      </c>
    </row>
    <row r="36" spans="1:23" ht="30" customHeight="1" x14ac:dyDescent="0.25">
      <c r="A36" s="3" t="s">
        <v>139</v>
      </c>
      <c r="B36" s="3" t="s">
        <v>140</v>
      </c>
      <c r="C36" s="3" t="s">
        <v>65</v>
      </c>
      <c r="D36" s="3" t="s">
        <v>30</v>
      </c>
      <c r="E36" s="3" t="s">
        <v>30</v>
      </c>
      <c r="F36" s="3" t="s">
        <v>61</v>
      </c>
      <c r="G36" s="3" t="s">
        <v>66</v>
      </c>
      <c r="H36" s="3" t="s">
        <v>67</v>
      </c>
      <c r="I36" s="3" t="s">
        <v>111</v>
      </c>
      <c r="J36" s="3" t="s">
        <v>141</v>
      </c>
      <c r="K36" s="3" t="s">
        <v>141</v>
      </c>
      <c r="L36" s="5">
        <v>41360</v>
      </c>
      <c r="M36" s="5">
        <v>41600</v>
      </c>
      <c r="N36" s="5">
        <v>44157</v>
      </c>
      <c r="O36" s="6"/>
      <c r="P36" s="7">
        <v>44157</v>
      </c>
      <c r="Q36" s="3" t="s">
        <v>20</v>
      </c>
      <c r="R36" s="20">
        <v>379.18</v>
      </c>
      <c r="S36" s="24">
        <v>9510.66</v>
      </c>
      <c r="T36" s="24">
        <v>3112.83</v>
      </c>
      <c r="U36" s="24">
        <v>0</v>
      </c>
      <c r="V36" s="24">
        <v>6397.83</v>
      </c>
      <c r="W36" s="30">
        <f t="shared" si="0"/>
        <v>0.67270094819917858</v>
      </c>
    </row>
    <row r="37" spans="1:23" ht="30" customHeight="1" x14ac:dyDescent="0.25">
      <c r="A37" s="3" t="s">
        <v>142</v>
      </c>
      <c r="B37" s="3" t="s">
        <v>143</v>
      </c>
      <c r="C37" s="3" t="s">
        <v>144</v>
      </c>
      <c r="D37" s="3" t="s">
        <v>30</v>
      </c>
      <c r="E37" s="3" t="s">
        <v>30</v>
      </c>
      <c r="F37" s="3" t="s">
        <v>61</v>
      </c>
      <c r="G37" s="3" t="s">
        <v>39</v>
      </c>
      <c r="H37" s="3" t="s">
        <v>81</v>
      </c>
      <c r="I37" s="3" t="s">
        <v>41</v>
      </c>
      <c r="J37" s="3" t="s">
        <v>42</v>
      </c>
      <c r="K37" s="3" t="s">
        <v>145</v>
      </c>
      <c r="L37" s="5">
        <v>40998</v>
      </c>
      <c r="M37" s="5">
        <v>41093</v>
      </c>
      <c r="N37" s="5">
        <v>43649</v>
      </c>
      <c r="O37" s="6"/>
      <c r="P37" s="7">
        <v>43649</v>
      </c>
      <c r="Q37" s="3" t="s">
        <v>20</v>
      </c>
      <c r="R37" s="20">
        <v>54.24</v>
      </c>
      <c r="S37" s="25">
        <v>4007.14</v>
      </c>
      <c r="T37" s="25">
        <v>3417.98</v>
      </c>
      <c r="U37" s="25">
        <v>0</v>
      </c>
      <c r="V37" s="25">
        <v>589.16</v>
      </c>
      <c r="W37" s="30">
        <f t="shared" si="0"/>
        <v>0.14702755581287402</v>
      </c>
    </row>
    <row r="38" spans="1:23" ht="30" customHeight="1" x14ac:dyDescent="0.25">
      <c r="A38" s="3" t="s">
        <v>146</v>
      </c>
      <c r="B38" s="3" t="s">
        <v>147</v>
      </c>
      <c r="C38" s="3" t="s">
        <v>95</v>
      </c>
      <c r="D38" s="3" t="s">
        <v>30</v>
      </c>
      <c r="E38" s="3" t="s">
        <v>30</v>
      </c>
      <c r="F38" s="3" t="s">
        <v>61</v>
      </c>
      <c r="G38" s="3" t="s">
        <v>66</v>
      </c>
      <c r="H38" s="3" t="s">
        <v>110</v>
      </c>
      <c r="I38" s="3" t="s">
        <v>41</v>
      </c>
      <c r="J38" s="3" t="s">
        <v>42</v>
      </c>
      <c r="K38" s="3" t="s">
        <v>148</v>
      </c>
      <c r="L38" s="5">
        <v>40998</v>
      </c>
      <c r="M38" s="5">
        <v>41093</v>
      </c>
      <c r="N38" s="5">
        <v>44015</v>
      </c>
      <c r="O38" s="6"/>
      <c r="P38" s="7">
        <v>44015</v>
      </c>
      <c r="Q38" s="3" t="s">
        <v>20</v>
      </c>
      <c r="R38" s="20">
        <v>66.150000000000006</v>
      </c>
      <c r="S38" s="25">
        <v>5587.3</v>
      </c>
      <c r="T38" s="25">
        <v>4169.0600000000004</v>
      </c>
      <c r="U38" s="25">
        <v>0</v>
      </c>
      <c r="V38" s="25">
        <v>1418.24</v>
      </c>
      <c r="W38" s="30">
        <f t="shared" si="0"/>
        <v>0.25383279938431802</v>
      </c>
    </row>
    <row r="39" spans="1:23" ht="30" customHeight="1" x14ac:dyDescent="0.25">
      <c r="A39" s="3" t="s">
        <v>149</v>
      </c>
      <c r="B39" s="3" t="s">
        <v>150</v>
      </c>
      <c r="C39" s="3" t="s">
        <v>95</v>
      </c>
      <c r="D39" s="3" t="s">
        <v>30</v>
      </c>
      <c r="E39" s="3" t="s">
        <v>30</v>
      </c>
      <c r="F39" s="3" t="s">
        <v>61</v>
      </c>
      <c r="G39" s="3" t="s">
        <v>66</v>
      </c>
      <c r="H39" s="3" t="s">
        <v>110</v>
      </c>
      <c r="I39" s="3" t="s">
        <v>111</v>
      </c>
      <c r="J39" s="3" t="s">
        <v>141</v>
      </c>
      <c r="K39" s="3" t="s">
        <v>141</v>
      </c>
      <c r="L39" s="5">
        <v>40998</v>
      </c>
      <c r="M39" s="5">
        <v>41093</v>
      </c>
      <c r="N39" s="5">
        <v>43649</v>
      </c>
      <c r="O39" s="6"/>
      <c r="P39" s="7">
        <v>43649</v>
      </c>
      <c r="Q39" s="3" t="s">
        <v>20</v>
      </c>
      <c r="R39" s="20">
        <v>103.76</v>
      </c>
      <c r="S39" s="25">
        <v>7545.16</v>
      </c>
      <c r="T39" s="25">
        <v>6539.48</v>
      </c>
      <c r="U39" s="25">
        <v>0</v>
      </c>
      <c r="V39" s="25">
        <v>1005.68</v>
      </c>
      <c r="W39" s="30">
        <f t="shared" si="0"/>
        <v>0.1332880946195972</v>
      </c>
    </row>
    <row r="40" spans="1:23" ht="30" customHeight="1" x14ac:dyDescent="0.25">
      <c r="A40" s="3" t="s">
        <v>151</v>
      </c>
      <c r="B40" s="3" t="s">
        <v>152</v>
      </c>
      <c r="C40" s="3" t="s">
        <v>72</v>
      </c>
      <c r="D40" s="3" t="s">
        <v>30</v>
      </c>
      <c r="E40" s="3" t="s">
        <v>30</v>
      </c>
      <c r="F40" s="3" t="s">
        <v>61</v>
      </c>
      <c r="G40" s="3" t="s">
        <v>39</v>
      </c>
      <c r="H40" s="3" t="s">
        <v>40</v>
      </c>
      <c r="I40" s="3" t="s">
        <v>41</v>
      </c>
      <c r="J40" s="3" t="s">
        <v>42</v>
      </c>
      <c r="K40" s="3" t="s">
        <v>153</v>
      </c>
      <c r="L40" s="5">
        <v>40998</v>
      </c>
      <c r="M40" s="5">
        <v>41093</v>
      </c>
      <c r="N40" s="5">
        <v>43649</v>
      </c>
      <c r="O40" s="6"/>
      <c r="P40" s="7">
        <v>43649</v>
      </c>
      <c r="Q40" s="3" t="s">
        <v>20</v>
      </c>
      <c r="R40" s="20">
        <v>53.15</v>
      </c>
      <c r="S40" s="25">
        <v>4402.74</v>
      </c>
      <c r="T40" s="25">
        <v>3349.99</v>
      </c>
      <c r="U40" s="25">
        <v>0</v>
      </c>
      <c r="V40" s="25">
        <v>1052.74</v>
      </c>
      <c r="W40" s="30">
        <f t="shared" si="0"/>
        <v>0.23911019047229681</v>
      </c>
    </row>
    <row r="41" spans="1:23" ht="15" customHeight="1" x14ac:dyDescent="0.25">
      <c r="A41" s="3" t="s">
        <v>154</v>
      </c>
      <c r="B41" s="3" t="s">
        <v>155</v>
      </c>
      <c r="C41" s="3" t="s">
        <v>95</v>
      </c>
      <c r="D41" s="3" t="s">
        <v>30</v>
      </c>
      <c r="E41" s="3" t="s">
        <v>30</v>
      </c>
      <c r="F41" s="3" t="s">
        <v>61</v>
      </c>
      <c r="G41" s="3" t="s">
        <v>66</v>
      </c>
      <c r="H41" s="3" t="s">
        <v>67</v>
      </c>
      <c r="I41" s="3" t="s">
        <v>111</v>
      </c>
      <c r="J41" s="3" t="s">
        <v>112</v>
      </c>
      <c r="K41" s="3" t="s">
        <v>112</v>
      </c>
      <c r="L41" s="5">
        <v>40998</v>
      </c>
      <c r="M41" s="5">
        <v>41093</v>
      </c>
      <c r="N41" s="5">
        <v>43649</v>
      </c>
      <c r="O41" s="6"/>
      <c r="P41" s="7">
        <v>43649</v>
      </c>
      <c r="Q41" s="3" t="s">
        <v>20</v>
      </c>
      <c r="R41" s="20">
        <v>40.25</v>
      </c>
      <c r="S41" s="25">
        <v>3341</v>
      </c>
      <c r="T41" s="25">
        <v>2537</v>
      </c>
      <c r="U41" s="25">
        <v>0</v>
      </c>
      <c r="V41" s="25">
        <v>804</v>
      </c>
      <c r="W41" s="30">
        <f t="shared" si="0"/>
        <v>0.24064651302005388</v>
      </c>
    </row>
    <row r="42" spans="1:23" ht="15" customHeight="1" x14ac:dyDescent="0.25">
      <c r="A42" s="3" t="s">
        <v>156</v>
      </c>
      <c r="B42" s="3" t="s">
        <v>157</v>
      </c>
      <c r="C42" s="3" t="s">
        <v>95</v>
      </c>
      <c r="D42" s="3" t="s">
        <v>30</v>
      </c>
      <c r="E42" s="3" t="s">
        <v>30</v>
      </c>
      <c r="F42" s="3" t="s">
        <v>61</v>
      </c>
      <c r="G42" s="3" t="s">
        <v>66</v>
      </c>
      <c r="H42" s="3" t="s">
        <v>67</v>
      </c>
      <c r="I42" s="3" t="s">
        <v>111</v>
      </c>
      <c r="J42" s="3" t="s">
        <v>112</v>
      </c>
      <c r="K42" s="3" t="s">
        <v>112</v>
      </c>
      <c r="L42" s="5">
        <v>40998</v>
      </c>
      <c r="M42" s="5">
        <v>41093</v>
      </c>
      <c r="N42" s="5">
        <v>43649</v>
      </c>
      <c r="O42" s="6"/>
      <c r="P42" s="7">
        <v>43649</v>
      </c>
      <c r="Q42" s="3" t="s">
        <v>20</v>
      </c>
      <c r="R42" s="20">
        <v>199.84</v>
      </c>
      <c r="S42" s="25">
        <v>15113</v>
      </c>
      <c r="T42" s="25">
        <v>10579</v>
      </c>
      <c r="U42" s="25">
        <v>0</v>
      </c>
      <c r="V42" s="25">
        <v>4534</v>
      </c>
      <c r="W42" s="30">
        <f t="shared" si="0"/>
        <v>0.30000661681995633</v>
      </c>
    </row>
    <row r="43" spans="1:23" ht="30" customHeight="1" x14ac:dyDescent="0.25">
      <c r="A43" s="3" t="s">
        <v>158</v>
      </c>
      <c r="B43" s="3" t="s">
        <v>159</v>
      </c>
      <c r="C43" s="3" t="s">
        <v>80</v>
      </c>
      <c r="D43" s="3" t="s">
        <v>30</v>
      </c>
      <c r="E43" s="3" t="s">
        <v>30</v>
      </c>
      <c r="F43" s="3" t="s">
        <v>61</v>
      </c>
      <c r="G43" s="3" t="s">
        <v>39</v>
      </c>
      <c r="H43" s="3" t="s">
        <v>81</v>
      </c>
      <c r="I43" s="3" t="s">
        <v>41</v>
      </c>
      <c r="J43" s="3" t="s">
        <v>42</v>
      </c>
      <c r="K43" s="3" t="s">
        <v>160</v>
      </c>
      <c r="L43" s="5">
        <v>40998</v>
      </c>
      <c r="M43" s="5">
        <v>41093</v>
      </c>
      <c r="N43" s="5">
        <v>44745</v>
      </c>
      <c r="O43" s="6"/>
      <c r="P43" s="7">
        <v>44745</v>
      </c>
      <c r="Q43" s="3" t="s">
        <v>20</v>
      </c>
      <c r="R43" s="20">
        <v>81.040000000000006</v>
      </c>
      <c r="S43" s="25">
        <v>5637.45</v>
      </c>
      <c r="T43" s="25">
        <v>4528.18</v>
      </c>
      <c r="U43" s="25">
        <v>0</v>
      </c>
      <c r="V43" s="25">
        <v>1109.27</v>
      </c>
      <c r="W43" s="30">
        <f t="shared" si="0"/>
        <v>0.19676804228862341</v>
      </c>
    </row>
    <row r="44" spans="1:23" ht="15" customHeight="1" x14ac:dyDescent="0.25">
      <c r="A44" s="3" t="s">
        <v>161</v>
      </c>
      <c r="B44" s="3" t="s">
        <v>162</v>
      </c>
      <c r="C44" s="3" t="s">
        <v>95</v>
      </c>
      <c r="D44" s="3" t="s">
        <v>30</v>
      </c>
      <c r="E44" s="3" t="s">
        <v>30</v>
      </c>
      <c r="F44" s="3" t="s">
        <v>61</v>
      </c>
      <c r="G44" s="3" t="s">
        <v>66</v>
      </c>
      <c r="H44" s="3" t="s">
        <v>67</v>
      </c>
      <c r="I44" s="3" t="s">
        <v>41</v>
      </c>
      <c r="J44" s="3" t="s">
        <v>42</v>
      </c>
      <c r="K44" s="3" t="s">
        <v>163</v>
      </c>
      <c r="L44" s="5">
        <v>40633</v>
      </c>
      <c r="M44" s="5">
        <v>40745</v>
      </c>
      <c r="N44" s="5">
        <v>45128</v>
      </c>
      <c r="O44" s="6"/>
      <c r="P44" s="7">
        <v>45128</v>
      </c>
      <c r="Q44" s="3" t="s">
        <v>20</v>
      </c>
      <c r="R44" s="20">
        <v>358.09</v>
      </c>
      <c r="S44" s="25">
        <v>34156.620000000003</v>
      </c>
      <c r="T44" s="25">
        <v>21383.29</v>
      </c>
      <c r="U44" s="25">
        <v>0</v>
      </c>
      <c r="V44" s="25">
        <v>12773.33</v>
      </c>
      <c r="W44" s="30">
        <f t="shared" si="0"/>
        <v>0.37396352449393411</v>
      </c>
    </row>
    <row r="45" spans="1:23" ht="15" customHeight="1" x14ac:dyDescent="0.25">
      <c r="A45" s="3" t="s">
        <v>164</v>
      </c>
      <c r="B45" s="3" t="s">
        <v>165</v>
      </c>
      <c r="C45" s="3" t="s">
        <v>85</v>
      </c>
      <c r="D45" s="3" t="s">
        <v>30</v>
      </c>
      <c r="E45" s="3" t="s">
        <v>30</v>
      </c>
      <c r="F45" s="3" t="s">
        <v>61</v>
      </c>
      <c r="G45" s="3" t="s">
        <v>66</v>
      </c>
      <c r="H45" s="3" t="s">
        <v>117</v>
      </c>
      <c r="I45" s="3" t="s">
        <v>11</v>
      </c>
      <c r="J45" s="3" t="s">
        <v>19</v>
      </c>
      <c r="K45" s="3" t="s">
        <v>19</v>
      </c>
      <c r="L45" s="5">
        <v>40126</v>
      </c>
      <c r="M45" s="5">
        <v>40171</v>
      </c>
      <c r="N45" s="5">
        <v>42728</v>
      </c>
      <c r="O45" s="6"/>
      <c r="P45" s="7">
        <v>42728</v>
      </c>
      <c r="Q45" s="3" t="s">
        <v>20</v>
      </c>
      <c r="R45" s="20">
        <v>266.33</v>
      </c>
      <c r="S45" s="25">
        <v>21564</v>
      </c>
      <c r="T45" s="25">
        <v>16000</v>
      </c>
      <c r="U45" s="25">
        <v>160</v>
      </c>
      <c r="V45" s="25">
        <v>5404</v>
      </c>
      <c r="W45" s="30">
        <f t="shared" si="0"/>
        <v>0.25060285661287329</v>
      </c>
    </row>
    <row r="46" spans="1:23" ht="45" customHeight="1" x14ac:dyDescent="0.25">
      <c r="A46" s="3" t="s">
        <v>166</v>
      </c>
      <c r="B46" s="3" t="s">
        <v>167</v>
      </c>
      <c r="C46" s="3" t="s">
        <v>132</v>
      </c>
      <c r="D46" s="3" t="s">
        <v>30</v>
      </c>
      <c r="E46" s="3" t="s">
        <v>30</v>
      </c>
      <c r="F46" s="3" t="s">
        <v>61</v>
      </c>
      <c r="G46" s="3" t="s">
        <v>39</v>
      </c>
      <c r="H46" s="8" t="s">
        <v>40</v>
      </c>
      <c r="I46" s="3" t="s">
        <v>11</v>
      </c>
      <c r="J46" s="3" t="s">
        <v>19</v>
      </c>
      <c r="K46" s="3" t="s">
        <v>19</v>
      </c>
      <c r="L46" s="5">
        <v>40142</v>
      </c>
      <c r="M46" s="5">
        <v>40260</v>
      </c>
      <c r="N46" s="5">
        <v>42817</v>
      </c>
      <c r="O46" s="6"/>
      <c r="P46" s="7">
        <v>42817</v>
      </c>
      <c r="Q46" s="3" t="s">
        <v>20</v>
      </c>
      <c r="R46" s="20">
        <v>128.06</v>
      </c>
      <c r="S46" s="25">
        <v>9695</v>
      </c>
      <c r="T46" s="25">
        <v>7770</v>
      </c>
      <c r="U46" s="25">
        <v>0</v>
      </c>
      <c r="V46" s="25">
        <v>1925</v>
      </c>
      <c r="W46" s="30">
        <f t="shared" si="0"/>
        <v>0.19855595667870035</v>
      </c>
    </row>
    <row r="47" spans="1:23" ht="30" customHeight="1" x14ac:dyDescent="0.25">
      <c r="A47" s="3" t="s">
        <v>168</v>
      </c>
      <c r="B47" s="3" t="s">
        <v>169</v>
      </c>
      <c r="C47" s="3" t="s">
        <v>72</v>
      </c>
      <c r="D47" s="3" t="s">
        <v>30</v>
      </c>
      <c r="E47" s="3" t="s">
        <v>30</v>
      </c>
      <c r="F47" s="3" t="s">
        <v>61</v>
      </c>
      <c r="G47" s="3" t="s">
        <v>39</v>
      </c>
      <c r="H47" s="3" t="s">
        <v>40</v>
      </c>
      <c r="I47" s="9" t="s">
        <v>41</v>
      </c>
      <c r="J47" s="9" t="s">
        <v>42</v>
      </c>
      <c r="K47" s="9" t="s">
        <v>248</v>
      </c>
      <c r="L47" s="5">
        <v>39434</v>
      </c>
      <c r="M47" s="5">
        <v>39553</v>
      </c>
      <c r="N47" s="5">
        <v>42840</v>
      </c>
      <c r="O47" s="6"/>
      <c r="P47" s="7">
        <v>42840</v>
      </c>
      <c r="Q47" s="3" t="s">
        <v>20</v>
      </c>
      <c r="R47" s="20">
        <v>103.46</v>
      </c>
      <c r="S47" s="25">
        <v>7964.5129999999999</v>
      </c>
      <c r="T47" s="25">
        <v>5973.56</v>
      </c>
      <c r="U47" s="25">
        <v>0</v>
      </c>
      <c r="V47" s="25">
        <v>1990.96</v>
      </c>
      <c r="W47" s="30">
        <f t="shared" si="0"/>
        <v>0.24997887504232841</v>
      </c>
    </row>
    <row r="48" spans="1:23" ht="30" customHeight="1" x14ac:dyDescent="0.25">
      <c r="A48" s="3" t="s">
        <v>170</v>
      </c>
      <c r="B48" s="3" t="s">
        <v>171</v>
      </c>
      <c r="C48" s="3" t="s">
        <v>65</v>
      </c>
      <c r="D48" s="3" t="s">
        <v>30</v>
      </c>
      <c r="E48" s="3" t="s">
        <v>30</v>
      </c>
      <c r="F48" s="3" t="s">
        <v>61</v>
      </c>
      <c r="G48" s="3" t="s">
        <v>66</v>
      </c>
      <c r="H48" s="3" t="s">
        <v>67</v>
      </c>
      <c r="I48" s="3" t="s">
        <v>11</v>
      </c>
      <c r="J48" s="3" t="s">
        <v>19</v>
      </c>
      <c r="K48" s="3" t="s">
        <v>19</v>
      </c>
      <c r="L48" s="5">
        <v>37343</v>
      </c>
      <c r="M48" s="5">
        <v>37673</v>
      </c>
      <c r="N48" s="5">
        <v>40230</v>
      </c>
      <c r="O48" s="5">
        <v>42876</v>
      </c>
      <c r="P48" s="7">
        <v>42876</v>
      </c>
      <c r="Q48" s="3" t="s">
        <v>20</v>
      </c>
      <c r="R48" s="20">
        <v>193.3</v>
      </c>
      <c r="S48" s="25">
        <v>10869.21</v>
      </c>
      <c r="T48" s="25">
        <v>7860.86</v>
      </c>
      <c r="U48" s="25">
        <v>0</v>
      </c>
      <c r="V48" s="25">
        <v>3008.42</v>
      </c>
      <c r="W48" s="30">
        <f t="shared" si="0"/>
        <v>0.27678368529083536</v>
      </c>
    </row>
    <row r="49" spans="1:23" ht="30" customHeight="1" x14ac:dyDescent="0.25">
      <c r="A49" s="3" t="s">
        <v>172</v>
      </c>
      <c r="B49" s="3" t="s">
        <v>173</v>
      </c>
      <c r="C49" s="3" t="s">
        <v>95</v>
      </c>
      <c r="D49" s="3" t="s">
        <v>30</v>
      </c>
      <c r="E49" s="3" t="s">
        <v>30</v>
      </c>
      <c r="F49" s="3" t="s">
        <v>61</v>
      </c>
      <c r="G49" s="3" t="s">
        <v>66</v>
      </c>
      <c r="H49" s="3" t="s">
        <v>110</v>
      </c>
      <c r="I49" s="3" t="s">
        <v>111</v>
      </c>
      <c r="J49" s="3" t="s">
        <v>141</v>
      </c>
      <c r="K49" s="3" t="s">
        <v>141</v>
      </c>
      <c r="L49" s="5">
        <v>39140</v>
      </c>
      <c r="M49" s="5">
        <v>39254</v>
      </c>
      <c r="N49" s="5">
        <v>42176</v>
      </c>
      <c r="O49" s="6"/>
      <c r="P49" s="7">
        <v>42176</v>
      </c>
      <c r="Q49" s="3" t="s">
        <v>20</v>
      </c>
      <c r="R49" s="20">
        <v>74.77</v>
      </c>
      <c r="S49" s="26">
        <v>5541.51</v>
      </c>
      <c r="T49" s="26">
        <v>4323.5200000000004</v>
      </c>
      <c r="U49" s="26">
        <v>0</v>
      </c>
      <c r="V49" s="26">
        <v>1217.99</v>
      </c>
      <c r="W49" s="30">
        <f t="shared" si="0"/>
        <v>0.21979388289473445</v>
      </c>
    </row>
    <row r="50" spans="1:23" ht="15" customHeight="1" x14ac:dyDescent="0.25">
      <c r="A50" s="3" t="s">
        <v>174</v>
      </c>
      <c r="B50" s="3" t="s">
        <v>175</v>
      </c>
      <c r="C50" s="3" t="s">
        <v>85</v>
      </c>
      <c r="D50" s="3" t="s">
        <v>30</v>
      </c>
      <c r="E50" s="3" t="s">
        <v>30</v>
      </c>
      <c r="F50" s="3" t="s">
        <v>61</v>
      </c>
      <c r="G50" s="3" t="s">
        <v>66</v>
      </c>
      <c r="H50" s="3" t="s">
        <v>176</v>
      </c>
      <c r="I50" s="3" t="s">
        <v>11</v>
      </c>
      <c r="J50" s="3" t="s">
        <v>19</v>
      </c>
      <c r="K50" s="3" t="s">
        <v>19</v>
      </c>
      <c r="L50" s="5">
        <v>39721</v>
      </c>
      <c r="M50" s="5">
        <v>39820</v>
      </c>
      <c r="N50" s="5">
        <v>42376</v>
      </c>
      <c r="O50" s="6"/>
      <c r="P50" s="7">
        <v>42376</v>
      </c>
      <c r="Q50" s="3" t="s">
        <v>20</v>
      </c>
      <c r="R50" s="20">
        <v>217.82</v>
      </c>
      <c r="S50" s="25">
        <v>11096</v>
      </c>
      <c r="T50" s="25">
        <v>10100</v>
      </c>
      <c r="U50" s="25"/>
      <c r="V50" s="25">
        <v>996</v>
      </c>
      <c r="W50" s="30">
        <f t="shared" si="0"/>
        <v>8.9762076423936549E-2</v>
      </c>
    </row>
    <row r="51" spans="1:23" ht="30" customHeight="1" x14ac:dyDescent="0.25">
      <c r="A51" s="3" t="s">
        <v>177</v>
      </c>
      <c r="B51" s="3" t="s">
        <v>79</v>
      </c>
      <c r="C51" s="3" t="s">
        <v>80</v>
      </c>
      <c r="D51" s="3" t="s">
        <v>36</v>
      </c>
      <c r="E51" s="3" t="s">
        <v>37</v>
      </c>
      <c r="F51" s="3" t="s">
        <v>61</v>
      </c>
      <c r="G51" s="3" t="s">
        <v>39</v>
      </c>
      <c r="H51" s="3" t="s">
        <v>81</v>
      </c>
      <c r="I51" s="3" t="s">
        <v>41</v>
      </c>
      <c r="J51" s="3" t="s">
        <v>42</v>
      </c>
      <c r="K51" s="3" t="s">
        <v>178</v>
      </c>
      <c r="L51" s="5">
        <v>41376</v>
      </c>
      <c r="M51" s="5">
        <v>41495</v>
      </c>
      <c r="N51" s="5">
        <v>44196</v>
      </c>
      <c r="O51" s="6"/>
      <c r="P51" s="7">
        <v>44196</v>
      </c>
      <c r="Q51" s="3" t="s">
        <v>20</v>
      </c>
      <c r="R51" s="20">
        <v>18.850000000000001</v>
      </c>
      <c r="S51" s="28" t="s">
        <v>266</v>
      </c>
      <c r="T51" s="28"/>
      <c r="U51" s="28"/>
      <c r="V51" s="28"/>
      <c r="W51" s="30"/>
    </row>
    <row r="52" spans="1:23" ht="15" customHeight="1" x14ac:dyDescent="0.25">
      <c r="A52" s="3" t="s">
        <v>179</v>
      </c>
      <c r="B52" s="3" t="s">
        <v>180</v>
      </c>
      <c r="C52" s="3" t="s">
        <v>181</v>
      </c>
      <c r="D52" s="3" t="s">
        <v>115</v>
      </c>
      <c r="E52" s="3" t="s">
        <v>37</v>
      </c>
      <c r="F52" s="3" t="s">
        <v>61</v>
      </c>
      <c r="G52" s="3" t="s">
        <v>31</v>
      </c>
      <c r="H52" s="3" t="s">
        <v>31</v>
      </c>
      <c r="I52" s="3" t="s">
        <v>41</v>
      </c>
      <c r="J52" s="3" t="s">
        <v>42</v>
      </c>
      <c r="K52" s="3" t="s">
        <v>182</v>
      </c>
      <c r="L52" s="5">
        <v>38667</v>
      </c>
      <c r="M52" s="5">
        <v>39021</v>
      </c>
      <c r="N52" s="5">
        <v>41820</v>
      </c>
      <c r="O52" s="6"/>
      <c r="P52" s="7">
        <v>41820</v>
      </c>
      <c r="Q52" s="3" t="s">
        <v>27</v>
      </c>
      <c r="R52" s="20">
        <v>17.57</v>
      </c>
      <c r="S52" s="25">
        <v>1279.3399999999999</v>
      </c>
      <c r="T52" s="25">
        <v>1044.8900000000001</v>
      </c>
      <c r="U52" s="25">
        <v>29.77</v>
      </c>
      <c r="V52" s="25">
        <v>204.68</v>
      </c>
      <c r="W52" s="30">
        <f t="shared" si="0"/>
        <v>0.15998874419622619</v>
      </c>
    </row>
    <row r="53" spans="1:23" ht="30" customHeight="1" x14ac:dyDescent="0.25">
      <c r="A53" s="3" t="s">
        <v>183</v>
      </c>
      <c r="B53" s="3" t="s">
        <v>184</v>
      </c>
      <c r="C53" s="3" t="s">
        <v>38</v>
      </c>
      <c r="D53" s="3" t="s">
        <v>115</v>
      </c>
      <c r="E53" s="3" t="s">
        <v>37</v>
      </c>
      <c r="F53" s="3" t="s">
        <v>61</v>
      </c>
      <c r="G53" s="3" t="s">
        <v>39</v>
      </c>
      <c r="H53" s="3" t="s">
        <v>40</v>
      </c>
      <c r="I53" s="3" t="s">
        <v>111</v>
      </c>
      <c r="J53" s="3" t="s">
        <v>185</v>
      </c>
      <c r="K53" s="3" t="s">
        <v>185</v>
      </c>
      <c r="L53" s="5">
        <v>39603</v>
      </c>
      <c r="M53" s="5">
        <v>39767</v>
      </c>
      <c r="N53" s="5">
        <v>42505</v>
      </c>
      <c r="O53" s="6"/>
      <c r="P53" s="7">
        <v>42505</v>
      </c>
      <c r="Q53" s="3" t="s">
        <v>20</v>
      </c>
      <c r="R53" s="20">
        <v>22.97</v>
      </c>
      <c r="S53" s="25">
        <v>2263</v>
      </c>
      <c r="T53" s="25">
        <v>2018</v>
      </c>
      <c r="U53" s="25">
        <v>25</v>
      </c>
      <c r="V53" s="25">
        <v>220</v>
      </c>
      <c r="W53" s="30">
        <f t="shared" si="0"/>
        <v>9.7216084843128589E-2</v>
      </c>
    </row>
    <row r="54" spans="1:23" ht="30" customHeight="1" x14ac:dyDescent="0.25">
      <c r="A54" s="3" t="s">
        <v>186</v>
      </c>
      <c r="B54" s="3" t="s">
        <v>187</v>
      </c>
      <c r="C54" s="3" t="s">
        <v>72</v>
      </c>
      <c r="D54" s="3" t="s">
        <v>36</v>
      </c>
      <c r="E54" s="3" t="s">
        <v>188</v>
      </c>
      <c r="F54" s="3" t="s">
        <v>61</v>
      </c>
      <c r="G54" s="3" t="s">
        <v>39</v>
      </c>
      <c r="H54" s="3" t="s">
        <v>40</v>
      </c>
      <c r="I54" s="3" t="s">
        <v>189</v>
      </c>
      <c r="J54" s="3" t="s">
        <v>190</v>
      </c>
      <c r="K54" s="3" t="s">
        <v>191</v>
      </c>
      <c r="L54" s="5">
        <v>40851</v>
      </c>
      <c r="M54" s="5">
        <v>41516</v>
      </c>
      <c r="N54" s="5">
        <v>43566</v>
      </c>
      <c r="O54" s="6"/>
      <c r="P54" s="7">
        <v>43566</v>
      </c>
      <c r="Q54" s="3" t="s">
        <v>20</v>
      </c>
      <c r="R54" s="20">
        <v>34.207000000000001</v>
      </c>
      <c r="S54" s="25">
        <v>2518.75</v>
      </c>
      <c r="T54" s="25">
        <v>1571.4</v>
      </c>
      <c r="U54" s="25">
        <v>81.307000000000002</v>
      </c>
      <c r="V54" s="25">
        <v>866.31</v>
      </c>
      <c r="W54" s="30">
        <f t="shared" si="0"/>
        <v>0.34394441687344912</v>
      </c>
    </row>
    <row r="55" spans="1:23" ht="15" customHeight="1" x14ac:dyDescent="0.25">
      <c r="A55" s="3" t="s">
        <v>192</v>
      </c>
      <c r="B55" s="3" t="s">
        <v>193</v>
      </c>
      <c r="C55" s="3" t="s">
        <v>65</v>
      </c>
      <c r="D55" s="3" t="s">
        <v>115</v>
      </c>
      <c r="E55" s="3" t="s">
        <v>194</v>
      </c>
      <c r="F55" s="3" t="s">
        <v>61</v>
      </c>
      <c r="G55" s="3" t="s">
        <v>66</v>
      </c>
      <c r="H55" s="3" t="s">
        <v>67</v>
      </c>
      <c r="I55" s="3" t="s">
        <v>189</v>
      </c>
      <c r="J55" s="3" t="s">
        <v>195</v>
      </c>
      <c r="K55" s="3" t="s">
        <v>195</v>
      </c>
      <c r="L55" s="5">
        <v>35850</v>
      </c>
      <c r="M55" s="5">
        <v>35965</v>
      </c>
      <c r="N55" s="5">
        <v>37426</v>
      </c>
      <c r="O55" s="5">
        <v>41937</v>
      </c>
      <c r="P55" s="7">
        <v>41937</v>
      </c>
      <c r="Q55" s="3" t="s">
        <v>27</v>
      </c>
      <c r="R55" s="20">
        <v>89.45</v>
      </c>
      <c r="S55" s="25">
        <v>7853.43</v>
      </c>
      <c r="T55" s="25">
        <v>5016.6400000000003</v>
      </c>
      <c r="U55" s="25">
        <v>0</v>
      </c>
      <c r="V55" s="25">
        <v>2836.79</v>
      </c>
      <c r="W55" s="30">
        <f t="shared" si="0"/>
        <v>0.36121669130558237</v>
      </c>
    </row>
    <row r="56" spans="1:23" ht="15" customHeight="1" x14ac:dyDescent="0.25">
      <c r="A56" s="3" t="s">
        <v>196</v>
      </c>
      <c r="B56" s="3" t="s">
        <v>197</v>
      </c>
      <c r="C56" s="3" t="s">
        <v>95</v>
      </c>
      <c r="D56" s="3" t="s">
        <v>115</v>
      </c>
      <c r="E56" s="3" t="s">
        <v>194</v>
      </c>
      <c r="F56" s="3" t="s">
        <v>61</v>
      </c>
      <c r="G56" s="3" t="s">
        <v>66</v>
      </c>
      <c r="H56" s="3" t="s">
        <v>67</v>
      </c>
      <c r="I56" s="3" t="s">
        <v>111</v>
      </c>
      <c r="J56" s="3" t="s">
        <v>112</v>
      </c>
      <c r="K56" s="3" t="s">
        <v>112</v>
      </c>
      <c r="L56" s="5">
        <v>40007</v>
      </c>
      <c r="M56" s="5">
        <v>40106</v>
      </c>
      <c r="N56" s="5">
        <v>41749</v>
      </c>
      <c r="O56" s="5">
        <v>42113</v>
      </c>
      <c r="P56" s="7">
        <v>42113</v>
      </c>
      <c r="Q56" s="3" t="s">
        <v>20</v>
      </c>
      <c r="R56" s="20">
        <v>28.35</v>
      </c>
      <c r="S56" s="25">
        <v>2222.04</v>
      </c>
      <c r="T56" s="25">
        <v>1207.08</v>
      </c>
      <c r="U56" s="25">
        <v>0</v>
      </c>
      <c r="V56" s="25">
        <v>1014.97</v>
      </c>
      <c r="W56" s="30">
        <f t="shared" si="0"/>
        <v>0.45677395546434807</v>
      </c>
    </row>
    <row r="57" spans="1:23" ht="15" customHeight="1" x14ac:dyDescent="0.25">
      <c r="A57" s="3" t="s">
        <v>198</v>
      </c>
      <c r="B57" s="3" t="s">
        <v>199</v>
      </c>
      <c r="C57" s="3" t="s">
        <v>65</v>
      </c>
      <c r="D57" s="3" t="s">
        <v>36</v>
      </c>
      <c r="E57" s="3" t="s">
        <v>194</v>
      </c>
      <c r="F57" s="3" t="s">
        <v>61</v>
      </c>
      <c r="G57" s="3" t="s">
        <v>66</v>
      </c>
      <c r="H57" s="3" t="s">
        <v>67</v>
      </c>
      <c r="I57" s="3" t="s">
        <v>111</v>
      </c>
      <c r="J57" s="3" t="s">
        <v>200</v>
      </c>
      <c r="K57" s="3" t="s">
        <v>200</v>
      </c>
      <c r="L57" s="5">
        <v>41144</v>
      </c>
      <c r="M57" s="5">
        <v>41264</v>
      </c>
      <c r="N57" s="5">
        <v>42907</v>
      </c>
      <c r="O57" s="6"/>
      <c r="P57" s="7">
        <v>42907</v>
      </c>
      <c r="Q57" s="3" t="s">
        <v>20</v>
      </c>
      <c r="R57" s="20">
        <v>71.61</v>
      </c>
      <c r="S57" s="25">
        <v>4461</v>
      </c>
      <c r="T57" s="25">
        <v>3132</v>
      </c>
      <c r="U57" s="25">
        <v>0</v>
      </c>
      <c r="V57" s="25">
        <v>1329</v>
      </c>
      <c r="W57" s="30">
        <f t="shared" si="0"/>
        <v>0.29791526563550774</v>
      </c>
    </row>
    <row r="58" spans="1:23" ht="30" customHeight="1" x14ac:dyDescent="0.25">
      <c r="A58" s="3" t="s">
        <v>201</v>
      </c>
      <c r="B58" s="3" t="s">
        <v>202</v>
      </c>
      <c r="C58" s="3" t="s">
        <v>65</v>
      </c>
      <c r="D58" s="3" t="s">
        <v>36</v>
      </c>
      <c r="E58" s="3" t="s">
        <v>194</v>
      </c>
      <c r="F58" s="3" t="s">
        <v>61</v>
      </c>
      <c r="G58" s="3" t="s">
        <v>66</v>
      </c>
      <c r="H58" s="3" t="s">
        <v>67</v>
      </c>
      <c r="I58" s="3" t="s">
        <v>189</v>
      </c>
      <c r="J58" s="3" t="s">
        <v>195</v>
      </c>
      <c r="K58" s="3" t="s">
        <v>195</v>
      </c>
      <c r="L58" s="5">
        <v>40829</v>
      </c>
      <c r="M58" s="5">
        <v>40949</v>
      </c>
      <c r="N58" s="5">
        <v>41830</v>
      </c>
      <c r="O58" s="5">
        <v>42379</v>
      </c>
      <c r="P58" s="7">
        <v>42379</v>
      </c>
      <c r="Q58" s="3" t="s">
        <v>20</v>
      </c>
      <c r="R58" s="20">
        <v>13.29</v>
      </c>
      <c r="S58" s="27" t="s">
        <v>268</v>
      </c>
      <c r="T58" s="27"/>
      <c r="U58" s="27"/>
      <c r="V58" s="27"/>
      <c r="W58" s="30"/>
    </row>
    <row r="59" spans="1:23" ht="15" customHeight="1" x14ac:dyDescent="0.25">
      <c r="A59" s="3" t="s">
        <v>203</v>
      </c>
      <c r="B59" s="3" t="s">
        <v>204</v>
      </c>
      <c r="C59" s="3" t="s">
        <v>95</v>
      </c>
      <c r="D59" s="3" t="s">
        <v>36</v>
      </c>
      <c r="E59" s="3" t="s">
        <v>194</v>
      </c>
      <c r="F59" s="3" t="s">
        <v>61</v>
      </c>
      <c r="G59" s="3" t="s">
        <v>66</v>
      </c>
      <c r="H59" s="3" t="s">
        <v>67</v>
      </c>
      <c r="I59" s="3" t="s">
        <v>68</v>
      </c>
      <c r="J59" s="3" t="s">
        <v>205</v>
      </c>
      <c r="K59" s="3" t="s">
        <v>205</v>
      </c>
      <c r="L59" s="5">
        <v>41505</v>
      </c>
      <c r="M59" s="5">
        <v>41656</v>
      </c>
      <c r="N59" s="5">
        <v>43117</v>
      </c>
      <c r="O59" s="6"/>
      <c r="P59" s="7">
        <v>43117</v>
      </c>
      <c r="Q59" s="3" t="s">
        <v>20</v>
      </c>
      <c r="R59" s="20">
        <v>20.63</v>
      </c>
      <c r="S59" s="25">
        <v>1032.71</v>
      </c>
      <c r="T59" s="25">
        <v>875.25</v>
      </c>
      <c r="U59" s="25">
        <v>0</v>
      </c>
      <c r="V59" s="25">
        <v>157.46</v>
      </c>
      <c r="W59" s="30">
        <f t="shared" si="0"/>
        <v>0.15247262058080197</v>
      </c>
    </row>
    <row r="60" spans="1:23" ht="30" customHeight="1" x14ac:dyDescent="0.25">
      <c r="A60" s="3" t="s">
        <v>206</v>
      </c>
      <c r="B60" s="3" t="s">
        <v>207</v>
      </c>
      <c r="C60" s="3" t="s">
        <v>144</v>
      </c>
      <c r="D60" s="3" t="s">
        <v>36</v>
      </c>
      <c r="E60" s="3" t="s">
        <v>194</v>
      </c>
      <c r="F60" s="3" t="s">
        <v>61</v>
      </c>
      <c r="G60" s="3" t="s">
        <v>39</v>
      </c>
      <c r="H60" s="3" t="s">
        <v>208</v>
      </c>
      <c r="I60" s="3" t="s">
        <v>68</v>
      </c>
      <c r="J60" s="3" t="s">
        <v>209</v>
      </c>
      <c r="K60" s="3" t="s">
        <v>209</v>
      </c>
      <c r="L60" s="5">
        <v>41130</v>
      </c>
      <c r="M60" s="5">
        <v>41241</v>
      </c>
      <c r="N60" s="5">
        <v>43248</v>
      </c>
      <c r="O60" s="6"/>
      <c r="P60" s="7">
        <v>43248</v>
      </c>
      <c r="Q60" s="3" t="s">
        <v>20</v>
      </c>
      <c r="R60" s="20">
        <v>207.88</v>
      </c>
      <c r="S60" s="25">
        <v>11212.14</v>
      </c>
      <c r="T60" s="25">
        <v>8950.58</v>
      </c>
      <c r="U60" s="25">
        <v>0</v>
      </c>
      <c r="V60" s="25">
        <v>2261.56</v>
      </c>
      <c r="W60" s="30">
        <f t="shared" si="0"/>
        <v>0.20170636470825373</v>
      </c>
    </row>
    <row r="61" spans="1:23" ht="30" customHeight="1" x14ac:dyDescent="0.25">
      <c r="A61" s="3" t="s">
        <v>210</v>
      </c>
      <c r="B61" s="3" t="s">
        <v>211</v>
      </c>
      <c r="C61" s="3" t="s">
        <v>95</v>
      </c>
      <c r="D61" s="3" t="s">
        <v>36</v>
      </c>
      <c r="E61" s="3" t="s">
        <v>194</v>
      </c>
      <c r="F61" s="3" t="s">
        <v>61</v>
      </c>
      <c r="G61" s="3" t="s">
        <v>66</v>
      </c>
      <c r="H61" s="3" t="s">
        <v>110</v>
      </c>
      <c r="I61" s="3" t="s">
        <v>111</v>
      </c>
      <c r="J61" s="3" t="s">
        <v>112</v>
      </c>
      <c r="K61" s="8" t="s">
        <v>112</v>
      </c>
      <c r="L61" s="5">
        <v>41564</v>
      </c>
      <c r="M61" s="5">
        <v>41684</v>
      </c>
      <c r="N61" s="5">
        <v>43783</v>
      </c>
      <c r="O61" s="6"/>
      <c r="P61" s="7">
        <v>43783</v>
      </c>
      <c r="Q61" s="3" t="s">
        <v>20</v>
      </c>
      <c r="R61" s="20">
        <v>80.48</v>
      </c>
      <c r="S61" s="25">
        <v>4214.8599999999997</v>
      </c>
      <c r="T61" s="25">
        <v>3267.61</v>
      </c>
      <c r="U61" s="25">
        <v>0</v>
      </c>
      <c r="V61" s="25">
        <v>947.25</v>
      </c>
      <c r="W61" s="30">
        <f t="shared" si="0"/>
        <v>0.22474056077781945</v>
      </c>
    </row>
    <row r="62" spans="1:23" ht="15" customHeight="1" x14ac:dyDescent="0.25">
      <c r="A62" s="3" t="s">
        <v>212</v>
      </c>
      <c r="B62" s="3" t="s">
        <v>213</v>
      </c>
      <c r="C62" s="3" t="s">
        <v>95</v>
      </c>
      <c r="D62" s="3" t="s">
        <v>115</v>
      </c>
      <c r="E62" s="3" t="s">
        <v>194</v>
      </c>
      <c r="F62" s="3" t="s">
        <v>61</v>
      </c>
      <c r="G62" s="3" t="s">
        <v>66</v>
      </c>
      <c r="H62" s="3" t="s">
        <v>67</v>
      </c>
      <c r="I62" s="3" t="s">
        <v>68</v>
      </c>
      <c r="J62" s="3" t="s">
        <v>209</v>
      </c>
      <c r="K62" s="3" t="s">
        <v>209</v>
      </c>
      <c r="L62" s="5">
        <v>40007</v>
      </c>
      <c r="M62" s="5">
        <v>40106</v>
      </c>
      <c r="N62" s="5">
        <v>41445</v>
      </c>
      <c r="O62" s="5">
        <v>42093</v>
      </c>
      <c r="P62" s="7">
        <v>42093</v>
      </c>
      <c r="Q62" s="3" t="s">
        <v>20</v>
      </c>
      <c r="R62" s="20">
        <v>13.06</v>
      </c>
      <c r="S62" s="25">
        <v>972.06</v>
      </c>
      <c r="T62" s="25">
        <v>604.86</v>
      </c>
      <c r="U62" s="25">
        <v>0</v>
      </c>
      <c r="V62" s="25">
        <v>367.2</v>
      </c>
      <c r="W62" s="30">
        <f t="shared" si="0"/>
        <v>0.3777544596012592</v>
      </c>
    </row>
    <row r="63" spans="1:23" ht="15" customHeight="1" x14ac:dyDescent="0.25">
      <c r="A63" s="3" t="s">
        <v>214</v>
      </c>
      <c r="B63" s="3" t="s">
        <v>215</v>
      </c>
      <c r="C63" s="3" t="s">
        <v>95</v>
      </c>
      <c r="D63" s="3" t="s">
        <v>36</v>
      </c>
      <c r="E63" s="3" t="s">
        <v>216</v>
      </c>
      <c r="F63" s="3" t="s">
        <v>61</v>
      </c>
      <c r="G63" s="3" t="s">
        <v>66</v>
      </c>
      <c r="H63" s="3" t="s">
        <v>67</v>
      </c>
      <c r="I63" s="3" t="s">
        <v>11</v>
      </c>
      <c r="J63" s="3" t="s">
        <v>19</v>
      </c>
      <c r="K63" s="3" t="s">
        <v>19</v>
      </c>
      <c r="L63" s="5">
        <v>41110</v>
      </c>
      <c r="M63" s="5">
        <v>41169</v>
      </c>
      <c r="N63" s="5">
        <v>42916</v>
      </c>
      <c r="O63" s="6"/>
      <c r="P63" s="7">
        <v>42916</v>
      </c>
      <c r="Q63" s="3" t="s">
        <v>20</v>
      </c>
      <c r="R63" s="20">
        <v>30</v>
      </c>
      <c r="S63" s="27" t="s">
        <v>269</v>
      </c>
      <c r="T63" s="27"/>
      <c r="U63" s="27"/>
      <c r="V63" s="27"/>
      <c r="W63" s="30"/>
    </row>
    <row r="64" spans="1:23" ht="30" customHeight="1" x14ac:dyDescent="0.25">
      <c r="A64" s="3" t="s">
        <v>217</v>
      </c>
      <c r="B64" s="3" t="s">
        <v>71</v>
      </c>
      <c r="C64" s="3" t="s">
        <v>72</v>
      </c>
      <c r="D64" s="3" t="s">
        <v>115</v>
      </c>
      <c r="E64" s="3" t="s">
        <v>216</v>
      </c>
      <c r="F64" s="3" t="s">
        <v>61</v>
      </c>
      <c r="G64" s="3" t="s">
        <v>39</v>
      </c>
      <c r="H64" s="3" t="s">
        <v>40</v>
      </c>
      <c r="I64" s="3" t="s">
        <v>189</v>
      </c>
      <c r="J64" s="3" t="s">
        <v>218</v>
      </c>
      <c r="K64" s="3" t="s">
        <v>218</v>
      </c>
      <c r="L64" s="5">
        <v>39799</v>
      </c>
      <c r="M64" s="5">
        <v>39876</v>
      </c>
      <c r="N64" s="5">
        <v>41639</v>
      </c>
      <c r="O64" s="5">
        <v>42369</v>
      </c>
      <c r="P64" s="7">
        <v>42369</v>
      </c>
      <c r="Q64" s="3" t="s">
        <v>20</v>
      </c>
      <c r="R64" s="20">
        <v>30</v>
      </c>
      <c r="S64" s="28" t="s">
        <v>265</v>
      </c>
      <c r="T64" s="28"/>
      <c r="U64" s="28"/>
      <c r="V64" s="28"/>
      <c r="W64" s="30"/>
    </row>
    <row r="65" spans="1:23" ht="30" customHeight="1" x14ac:dyDescent="0.25">
      <c r="A65" s="3" t="s">
        <v>219</v>
      </c>
      <c r="B65" s="3" t="s">
        <v>184</v>
      </c>
      <c r="C65" s="3" t="s">
        <v>38</v>
      </c>
      <c r="D65" s="3" t="s">
        <v>115</v>
      </c>
      <c r="E65" s="3" t="s">
        <v>216</v>
      </c>
      <c r="F65" s="3" t="s">
        <v>61</v>
      </c>
      <c r="G65" s="3" t="s">
        <v>39</v>
      </c>
      <c r="H65" s="3" t="s">
        <v>40</v>
      </c>
      <c r="I65" s="3" t="s">
        <v>111</v>
      </c>
      <c r="J65" s="3" t="s">
        <v>185</v>
      </c>
      <c r="K65" s="4" t="s">
        <v>185</v>
      </c>
      <c r="L65" s="5">
        <v>39799</v>
      </c>
      <c r="M65" s="5">
        <v>39861</v>
      </c>
      <c r="N65" s="5">
        <v>41486</v>
      </c>
      <c r="O65" s="5">
        <v>42216</v>
      </c>
      <c r="P65" s="7">
        <v>42216</v>
      </c>
      <c r="Q65" s="3" t="s">
        <v>20</v>
      </c>
      <c r="R65" s="20">
        <v>10</v>
      </c>
      <c r="S65" s="27" t="s">
        <v>264</v>
      </c>
      <c r="T65" s="27"/>
      <c r="U65" s="27"/>
      <c r="V65" s="27"/>
      <c r="W65" s="30"/>
    </row>
    <row r="66" spans="1:23" ht="15" customHeight="1" x14ac:dyDescent="0.25">
      <c r="A66" s="3" t="s">
        <v>220</v>
      </c>
      <c r="B66" s="3" t="s">
        <v>221</v>
      </c>
      <c r="C66" s="3" t="s">
        <v>95</v>
      </c>
      <c r="D66" s="3" t="s">
        <v>6</v>
      </c>
      <c r="E66" s="3" t="s">
        <v>6</v>
      </c>
      <c r="F66" s="3" t="s">
        <v>61</v>
      </c>
      <c r="G66" s="3" t="s">
        <v>66</v>
      </c>
      <c r="H66" s="3" t="s">
        <v>67</v>
      </c>
      <c r="I66" s="3" t="s">
        <v>11</v>
      </c>
      <c r="J66" s="3" t="s">
        <v>19</v>
      </c>
      <c r="K66" s="3" t="s">
        <v>19</v>
      </c>
      <c r="L66" s="5">
        <v>39745</v>
      </c>
      <c r="M66" s="5">
        <v>39919</v>
      </c>
      <c r="N66" s="5">
        <v>41274</v>
      </c>
      <c r="O66" s="5">
        <v>42735</v>
      </c>
      <c r="P66" s="7">
        <v>42735</v>
      </c>
      <c r="Q66" s="3" t="s">
        <v>20</v>
      </c>
      <c r="R66" s="20">
        <v>232</v>
      </c>
      <c r="S66" s="25">
        <v>28943.33</v>
      </c>
      <c r="T66" s="25">
        <v>10284.61</v>
      </c>
      <c r="U66" s="25">
        <v>167.74</v>
      </c>
      <c r="V66" s="25">
        <v>18490.982</v>
      </c>
      <c r="W66" s="30">
        <f t="shared" si="0"/>
        <v>0.63886850614632107</v>
      </c>
    </row>
    <row r="67" spans="1:23" ht="15" customHeight="1" x14ac:dyDescent="0.25">
      <c r="A67" s="3" t="s">
        <v>222</v>
      </c>
      <c r="B67" s="3" t="s">
        <v>223</v>
      </c>
      <c r="C67" s="3" t="s">
        <v>132</v>
      </c>
      <c r="D67" s="3" t="s">
        <v>6</v>
      </c>
      <c r="E67" s="3" t="s">
        <v>6</v>
      </c>
      <c r="F67" s="3" t="s">
        <v>61</v>
      </c>
      <c r="G67" s="3" t="s">
        <v>66</v>
      </c>
      <c r="H67" s="3" t="s">
        <v>110</v>
      </c>
      <c r="I67" s="3" t="s">
        <v>111</v>
      </c>
      <c r="J67" s="3" t="s">
        <v>141</v>
      </c>
      <c r="K67" s="3" t="s">
        <v>141</v>
      </c>
      <c r="L67" s="5">
        <v>41060</v>
      </c>
      <c r="M67" s="5">
        <v>41201</v>
      </c>
      <c r="N67" s="5">
        <v>42916</v>
      </c>
      <c r="O67" s="6"/>
      <c r="P67" s="7">
        <v>42916</v>
      </c>
      <c r="Q67" s="3" t="s">
        <v>20</v>
      </c>
      <c r="R67" s="20">
        <v>275</v>
      </c>
      <c r="S67" s="25">
        <v>17043.669999999998</v>
      </c>
      <c r="T67" s="25">
        <v>11968</v>
      </c>
      <c r="U67" s="25">
        <v>0</v>
      </c>
      <c r="V67" s="25">
        <v>5075.67</v>
      </c>
      <c r="W67" s="30">
        <f t="shared" ref="W67:W76" si="3">V67/S67</f>
        <v>0.29780381807439366</v>
      </c>
    </row>
    <row r="68" spans="1:23" ht="30" customHeight="1" x14ac:dyDescent="0.25">
      <c r="A68" s="3" t="s">
        <v>224</v>
      </c>
      <c r="B68" s="3" t="s">
        <v>225</v>
      </c>
      <c r="C68" s="3" t="s">
        <v>16</v>
      </c>
      <c r="D68" s="3" t="s">
        <v>6</v>
      </c>
      <c r="E68" s="3" t="s">
        <v>6</v>
      </c>
      <c r="F68" s="3" t="s">
        <v>61</v>
      </c>
      <c r="G68" s="3" t="s">
        <v>17</v>
      </c>
      <c r="H68" s="3" t="s">
        <v>18</v>
      </c>
      <c r="I68" s="8" t="s">
        <v>11</v>
      </c>
      <c r="J68" s="8" t="s">
        <v>19</v>
      </c>
      <c r="K68" s="8" t="s">
        <v>19</v>
      </c>
      <c r="L68" s="5">
        <v>41731</v>
      </c>
      <c r="M68" s="5">
        <v>41803</v>
      </c>
      <c r="N68" s="5">
        <v>43830</v>
      </c>
      <c r="O68" s="6"/>
      <c r="P68" s="7">
        <v>43830</v>
      </c>
      <c r="Q68" s="3" t="s">
        <v>20</v>
      </c>
      <c r="R68" s="20">
        <v>479</v>
      </c>
      <c r="S68" s="27" t="s">
        <v>270</v>
      </c>
      <c r="T68" s="27"/>
      <c r="U68" s="27"/>
      <c r="V68" s="27"/>
      <c r="W68" s="30"/>
    </row>
    <row r="69" spans="1:23" ht="30" customHeight="1" x14ac:dyDescent="0.25">
      <c r="A69" s="3" t="s">
        <v>226</v>
      </c>
      <c r="B69" s="3" t="s">
        <v>227</v>
      </c>
      <c r="C69" s="3" t="s">
        <v>132</v>
      </c>
      <c r="D69" s="3" t="s">
        <v>6</v>
      </c>
      <c r="E69" s="3" t="s">
        <v>6</v>
      </c>
      <c r="F69" s="3" t="s">
        <v>61</v>
      </c>
      <c r="G69" s="3" t="s">
        <v>66</v>
      </c>
      <c r="H69" s="3" t="s">
        <v>176</v>
      </c>
      <c r="I69" s="3" t="s">
        <v>11</v>
      </c>
      <c r="J69" s="3" t="s">
        <v>19</v>
      </c>
      <c r="K69" s="3" t="s">
        <v>19</v>
      </c>
      <c r="L69" s="5">
        <v>38993</v>
      </c>
      <c r="M69" s="5">
        <v>39141</v>
      </c>
      <c r="N69" s="5">
        <v>41090</v>
      </c>
      <c r="O69" s="5">
        <v>42490</v>
      </c>
      <c r="P69" s="7">
        <v>42490</v>
      </c>
      <c r="Q69" s="3" t="s">
        <v>20</v>
      </c>
      <c r="R69" s="20">
        <v>122.261</v>
      </c>
      <c r="S69" s="25">
        <v>6003.86</v>
      </c>
      <c r="T69" s="25">
        <v>5128</v>
      </c>
      <c r="U69" s="25">
        <v>875.86</v>
      </c>
      <c r="V69" s="25">
        <v>0</v>
      </c>
      <c r="W69" s="30">
        <f t="shared" si="3"/>
        <v>0</v>
      </c>
    </row>
    <row r="70" spans="1:23" ht="30" customHeight="1" x14ac:dyDescent="0.25">
      <c r="A70" s="3" t="s">
        <v>228</v>
      </c>
      <c r="B70" s="3" t="s">
        <v>229</v>
      </c>
      <c r="C70" s="3" t="s">
        <v>38</v>
      </c>
      <c r="D70" s="3" t="s">
        <v>6</v>
      </c>
      <c r="E70" s="3" t="s">
        <v>6</v>
      </c>
      <c r="F70" s="3" t="s">
        <v>61</v>
      </c>
      <c r="G70" s="3" t="s">
        <v>39</v>
      </c>
      <c r="H70" s="3" t="s">
        <v>40</v>
      </c>
      <c r="I70" s="3" t="s">
        <v>189</v>
      </c>
      <c r="J70" s="3" t="s">
        <v>190</v>
      </c>
      <c r="K70" s="3" t="s">
        <v>230</v>
      </c>
      <c r="L70" s="5">
        <v>39205</v>
      </c>
      <c r="M70" s="5">
        <v>39266</v>
      </c>
      <c r="N70" s="5">
        <v>41274</v>
      </c>
      <c r="O70" s="5">
        <v>42004</v>
      </c>
      <c r="P70" s="7">
        <v>42004</v>
      </c>
      <c r="Q70" s="3" t="s">
        <v>27</v>
      </c>
      <c r="R70" s="20">
        <v>76.388999999999996</v>
      </c>
      <c r="S70" s="25">
        <v>5210</v>
      </c>
      <c r="T70" s="25">
        <v>4340</v>
      </c>
      <c r="U70" s="25">
        <v>440</v>
      </c>
      <c r="V70" s="25">
        <v>430</v>
      </c>
      <c r="W70" s="30">
        <f t="shared" si="3"/>
        <v>8.253358925143954E-2</v>
      </c>
    </row>
    <row r="71" spans="1:23" ht="30" customHeight="1" x14ac:dyDescent="0.25">
      <c r="A71" s="3" t="s">
        <v>231</v>
      </c>
      <c r="B71" s="3" t="s">
        <v>232</v>
      </c>
      <c r="C71" s="3" t="s">
        <v>144</v>
      </c>
      <c r="D71" s="3" t="s">
        <v>6</v>
      </c>
      <c r="E71" s="3" t="s">
        <v>6</v>
      </c>
      <c r="F71" s="3" t="s">
        <v>61</v>
      </c>
      <c r="G71" s="3" t="s">
        <v>39</v>
      </c>
      <c r="H71" s="3" t="s">
        <v>40</v>
      </c>
      <c r="I71" s="9" t="s">
        <v>41</v>
      </c>
      <c r="J71" s="9" t="s">
        <v>42</v>
      </c>
      <c r="K71" s="9" t="s">
        <v>249</v>
      </c>
      <c r="L71" s="5">
        <v>40032</v>
      </c>
      <c r="M71" s="5">
        <v>40120</v>
      </c>
      <c r="N71" s="5">
        <v>42094</v>
      </c>
      <c r="O71" s="6"/>
      <c r="P71" s="7">
        <v>42094</v>
      </c>
      <c r="Q71" s="3" t="s">
        <v>20</v>
      </c>
      <c r="R71" s="20">
        <v>70.36</v>
      </c>
      <c r="S71" s="25">
        <v>5111.4380000000001</v>
      </c>
      <c r="T71" s="25">
        <v>3166.0349999999999</v>
      </c>
      <c r="U71" s="25">
        <v>0</v>
      </c>
      <c r="V71" s="25">
        <v>1945.403</v>
      </c>
      <c r="W71" s="30">
        <f t="shared" si="3"/>
        <v>0.38059798436369568</v>
      </c>
    </row>
    <row r="72" spans="1:23" ht="30" customHeight="1" x14ac:dyDescent="0.25">
      <c r="A72" s="3" t="s">
        <v>233</v>
      </c>
      <c r="B72" s="3" t="s">
        <v>234</v>
      </c>
      <c r="C72" s="3" t="s">
        <v>235</v>
      </c>
      <c r="D72" s="3" t="s">
        <v>6</v>
      </c>
      <c r="E72" s="3" t="s">
        <v>6</v>
      </c>
      <c r="F72" s="3" t="s">
        <v>61</v>
      </c>
      <c r="G72" s="3" t="s">
        <v>17</v>
      </c>
      <c r="H72" s="3" t="s">
        <v>18</v>
      </c>
      <c r="I72" s="3" t="s">
        <v>189</v>
      </c>
      <c r="J72" s="3" t="s">
        <v>218</v>
      </c>
      <c r="K72" s="3" t="s">
        <v>218</v>
      </c>
      <c r="L72" s="5">
        <v>40323</v>
      </c>
      <c r="M72" s="5">
        <v>40487</v>
      </c>
      <c r="N72" s="5">
        <v>41425</v>
      </c>
      <c r="O72" s="5">
        <v>41790</v>
      </c>
      <c r="P72" s="7">
        <v>41790</v>
      </c>
      <c r="Q72" s="3" t="s">
        <v>27</v>
      </c>
      <c r="R72" s="20">
        <v>27.326000000000001</v>
      </c>
      <c r="S72" s="24">
        <v>1663</v>
      </c>
      <c r="T72" s="24">
        <v>1410</v>
      </c>
      <c r="U72" s="24">
        <v>0</v>
      </c>
      <c r="V72" s="24">
        <v>253</v>
      </c>
      <c r="W72" s="30">
        <f t="shared" si="3"/>
        <v>0.15213469633193025</v>
      </c>
    </row>
    <row r="73" spans="1:23" ht="30" customHeight="1" x14ac:dyDescent="0.25">
      <c r="A73" s="3" t="s">
        <v>236</v>
      </c>
      <c r="B73" s="3" t="s">
        <v>237</v>
      </c>
      <c r="C73" s="3" t="s">
        <v>16</v>
      </c>
      <c r="D73" s="3" t="s">
        <v>6</v>
      </c>
      <c r="E73" s="3" t="s">
        <v>6</v>
      </c>
      <c r="F73" s="3" t="s">
        <v>61</v>
      </c>
      <c r="G73" s="3" t="s">
        <v>17</v>
      </c>
      <c r="H73" s="3" t="s">
        <v>18</v>
      </c>
      <c r="I73" s="3" t="s">
        <v>41</v>
      </c>
      <c r="J73" s="3" t="s">
        <v>42</v>
      </c>
      <c r="K73" s="3" t="s">
        <v>238</v>
      </c>
      <c r="L73" s="5">
        <v>40515</v>
      </c>
      <c r="M73" s="5">
        <v>40598</v>
      </c>
      <c r="N73" s="5">
        <v>41790</v>
      </c>
      <c r="O73" s="6"/>
      <c r="P73" s="7">
        <v>41790</v>
      </c>
      <c r="Q73" s="3" t="s">
        <v>27</v>
      </c>
      <c r="R73" s="20">
        <v>55.829000000000001</v>
      </c>
      <c r="S73" s="25">
        <v>3477.08</v>
      </c>
      <c r="T73" s="25">
        <v>2800.17</v>
      </c>
      <c r="U73" s="25">
        <v>0</v>
      </c>
      <c r="V73" s="25">
        <v>676.91</v>
      </c>
      <c r="W73" s="30">
        <f t="shared" si="3"/>
        <v>0.19467771808528994</v>
      </c>
    </row>
    <row r="74" spans="1:23" ht="30" customHeight="1" x14ac:dyDescent="0.25">
      <c r="A74" s="3" t="s">
        <v>239</v>
      </c>
      <c r="B74" s="3" t="s">
        <v>240</v>
      </c>
      <c r="C74" s="3" t="s">
        <v>241</v>
      </c>
      <c r="D74" s="3" t="s">
        <v>6</v>
      </c>
      <c r="E74" s="3" t="s">
        <v>6</v>
      </c>
      <c r="F74" s="3" t="s">
        <v>61</v>
      </c>
      <c r="G74" s="3" t="s">
        <v>39</v>
      </c>
      <c r="H74" s="3" t="s">
        <v>81</v>
      </c>
      <c r="I74" s="3" t="s">
        <v>111</v>
      </c>
      <c r="J74" s="3" t="s">
        <v>242</v>
      </c>
      <c r="K74" s="3" t="s">
        <v>242</v>
      </c>
      <c r="L74" s="5">
        <v>40675</v>
      </c>
      <c r="M74" s="5">
        <v>40751</v>
      </c>
      <c r="N74" s="5">
        <v>41759</v>
      </c>
      <c r="O74" s="6"/>
      <c r="P74" s="7">
        <v>41759</v>
      </c>
      <c r="Q74" s="3" t="s">
        <v>27</v>
      </c>
      <c r="R74" s="20">
        <v>2.4900000000000002</v>
      </c>
      <c r="S74" s="24">
        <v>633.399</v>
      </c>
      <c r="T74" s="24">
        <v>520</v>
      </c>
      <c r="U74" s="24">
        <v>0</v>
      </c>
      <c r="V74" s="24">
        <v>113.399</v>
      </c>
      <c r="W74" s="30">
        <f t="shared" si="3"/>
        <v>0.1790324897892166</v>
      </c>
    </row>
    <row r="75" spans="1:23" ht="15" customHeight="1" x14ac:dyDescent="0.25">
      <c r="A75" s="3" t="s">
        <v>243</v>
      </c>
      <c r="B75" s="3" t="s">
        <v>244</v>
      </c>
      <c r="C75" s="3" t="s">
        <v>85</v>
      </c>
      <c r="D75" s="3" t="s">
        <v>6</v>
      </c>
      <c r="E75" s="3" t="s">
        <v>6</v>
      </c>
      <c r="F75" s="3" t="s">
        <v>61</v>
      </c>
      <c r="G75" s="3" t="s">
        <v>66</v>
      </c>
      <c r="H75" s="3" t="s">
        <v>117</v>
      </c>
      <c r="I75" s="3" t="s">
        <v>11</v>
      </c>
      <c r="J75" s="3" t="s">
        <v>19</v>
      </c>
      <c r="K75" s="3" t="s">
        <v>19</v>
      </c>
      <c r="L75" s="5">
        <v>40941</v>
      </c>
      <c r="M75" s="5">
        <v>41193</v>
      </c>
      <c r="N75" s="5">
        <v>42704</v>
      </c>
      <c r="O75" s="6"/>
      <c r="P75" s="7">
        <v>42704</v>
      </c>
      <c r="Q75" s="3" t="s">
        <v>20</v>
      </c>
      <c r="R75" s="20">
        <v>50</v>
      </c>
      <c r="S75" s="25">
        <v>16438.34</v>
      </c>
      <c r="T75" s="25">
        <v>1640</v>
      </c>
      <c r="U75" s="25">
        <v>0</v>
      </c>
      <c r="V75" s="25">
        <v>14798.34</v>
      </c>
      <c r="W75" s="30">
        <f t="shared" si="3"/>
        <v>0.90023323522934795</v>
      </c>
    </row>
    <row r="76" spans="1:23" ht="30" customHeight="1" x14ac:dyDescent="0.25">
      <c r="A76" s="3" t="s">
        <v>245</v>
      </c>
      <c r="B76" s="3" t="s">
        <v>246</v>
      </c>
      <c r="C76" s="3" t="s">
        <v>80</v>
      </c>
      <c r="D76" s="3" t="s">
        <v>6</v>
      </c>
      <c r="E76" s="3" t="s">
        <v>6</v>
      </c>
      <c r="F76" s="3" t="s">
        <v>61</v>
      </c>
      <c r="G76" s="3" t="s">
        <v>39</v>
      </c>
      <c r="H76" s="3" t="s">
        <v>81</v>
      </c>
      <c r="I76" s="3" t="s">
        <v>41</v>
      </c>
      <c r="J76" s="3" t="s">
        <v>42</v>
      </c>
      <c r="K76" s="3" t="s">
        <v>247</v>
      </c>
      <c r="L76" s="5">
        <v>38533</v>
      </c>
      <c r="M76" s="5">
        <v>38636</v>
      </c>
      <c r="N76" s="5">
        <v>40633</v>
      </c>
      <c r="O76" s="5">
        <v>41729</v>
      </c>
      <c r="P76" s="7">
        <v>41729</v>
      </c>
      <c r="Q76" s="3" t="s">
        <v>27</v>
      </c>
      <c r="R76" s="20">
        <v>15.361000000000001</v>
      </c>
      <c r="S76" s="24">
        <v>2232.5500000000002</v>
      </c>
      <c r="T76" s="24">
        <v>1044.74</v>
      </c>
      <c r="U76" s="24">
        <v>1062.1420000000001</v>
      </c>
      <c r="V76" s="24">
        <v>125.667</v>
      </c>
      <c r="W76" s="30">
        <f t="shared" si="3"/>
        <v>5.6288548968668112E-2</v>
      </c>
    </row>
    <row r="77" spans="1:23" x14ac:dyDescent="0.25">
      <c r="W77" s="31">
        <f>AVERAGE(W2:W76)</f>
        <v>0.22312271754419671</v>
      </c>
    </row>
    <row r="79" spans="1:23" x14ac:dyDescent="0.25">
      <c r="S79" s="19">
        <f>SUM(S2:S76)</f>
        <v>658381.40883233328</v>
      </c>
      <c r="T79" s="19">
        <f>SUM(T2:T76)</f>
        <v>505175.24047233327</v>
      </c>
      <c r="U79" s="19">
        <f>SUM(U2:U76)</f>
        <v>4768.3290000000006</v>
      </c>
      <c r="V79" s="19">
        <f>SUM(V2:V76)</f>
        <v>148437.78200000001</v>
      </c>
    </row>
    <row r="80" spans="1:23" x14ac:dyDescent="0.25">
      <c r="S80" s="19">
        <f>SUM(T79,V79)</f>
        <v>653613.02247233328</v>
      </c>
      <c r="V80" s="19">
        <f>V79/S80*100</f>
        <v>22.710346473594505</v>
      </c>
    </row>
  </sheetData>
  <autoFilter ref="B1:B8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W76"/>
    </sheetView>
  </sheetViews>
  <sheetFormatPr defaultRowHeight="15" x14ac:dyDescent="0.25"/>
  <cols>
    <col min="1" max="1" width="10.7109375" customWidth="1"/>
    <col min="2" max="2" width="37.140625" customWidth="1"/>
    <col min="3" max="3" width="14" customWidth="1"/>
    <col min="4" max="5" width="12.28515625" customWidth="1"/>
    <col min="6" max="6" width="11" customWidth="1"/>
    <col min="7" max="17" width="0" hidden="1" customWidth="1"/>
    <col min="18" max="18" width="15" customWidth="1"/>
    <col min="19" max="23" width="20" customWidth="1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topLeftCell="A46" zoomScale="70" zoomScaleNormal="70" workbookViewId="0">
      <selection activeCell="S2" sqref="S2:S69"/>
    </sheetView>
  </sheetViews>
  <sheetFormatPr defaultRowHeight="15" x14ac:dyDescent="0.25"/>
  <cols>
    <col min="1" max="1" width="10.7109375" customWidth="1"/>
    <col min="2" max="2" width="37.140625" customWidth="1"/>
    <col min="3" max="3" width="14" customWidth="1"/>
    <col min="4" max="5" width="12.28515625" customWidth="1"/>
    <col min="6" max="6" width="11" customWidth="1"/>
    <col min="7" max="7" width="27.7109375" hidden="1" customWidth="1"/>
    <col min="8" max="8" width="27.140625" hidden="1" customWidth="1"/>
    <col min="9" max="10" width="14.5703125" hidden="1" customWidth="1"/>
    <col min="11" max="11" width="22.85546875" style="1" hidden="1" customWidth="1"/>
    <col min="12" max="16" width="14.140625" style="2" hidden="1" customWidth="1"/>
    <col min="17" max="17" width="15" hidden="1" customWidth="1"/>
    <col min="18" max="18" width="15" style="19" customWidth="1"/>
    <col min="19" max="22" width="20" style="19" customWidth="1"/>
    <col min="23" max="23" width="20" style="31" customWidth="1"/>
  </cols>
  <sheetData>
    <row r="1" spans="1:23" s="18" customFormat="1" ht="32.25" customHeight="1" x14ac:dyDescent="0.25">
      <c r="A1" s="14" t="s">
        <v>0</v>
      </c>
      <c r="B1" s="14" t="s">
        <v>261</v>
      </c>
      <c r="C1" s="14" t="s">
        <v>1</v>
      </c>
      <c r="D1" s="14" t="s">
        <v>253</v>
      </c>
      <c r="E1" s="14" t="s">
        <v>254</v>
      </c>
      <c r="F1" s="14" t="s">
        <v>255</v>
      </c>
      <c r="G1" s="14" t="s">
        <v>2</v>
      </c>
      <c r="H1" s="14" t="s">
        <v>3</v>
      </c>
      <c r="I1" s="15" t="s">
        <v>260</v>
      </c>
      <c r="J1" s="14" t="s">
        <v>256</v>
      </c>
      <c r="K1" s="15" t="s">
        <v>259</v>
      </c>
      <c r="L1" s="16" t="s">
        <v>252</v>
      </c>
      <c r="M1" s="16" t="s">
        <v>251</v>
      </c>
      <c r="N1" s="16" t="s">
        <v>250</v>
      </c>
      <c r="O1" s="17" t="s">
        <v>257</v>
      </c>
      <c r="P1" s="17" t="s">
        <v>258</v>
      </c>
      <c r="Q1" s="14" t="s">
        <v>262</v>
      </c>
      <c r="R1" s="21" t="s">
        <v>271</v>
      </c>
      <c r="S1" s="22" t="s">
        <v>263</v>
      </c>
      <c r="T1" s="22" t="s">
        <v>272</v>
      </c>
      <c r="U1" s="22" t="s">
        <v>273</v>
      </c>
      <c r="V1" s="22" t="s">
        <v>274</v>
      </c>
      <c r="W1" s="29" t="s">
        <v>275</v>
      </c>
    </row>
    <row r="2" spans="1:23" ht="30" customHeight="1" x14ac:dyDescent="0.25">
      <c r="A2" s="10" t="s">
        <v>4</v>
      </c>
      <c r="B2" s="10" t="s">
        <v>5</v>
      </c>
      <c r="C2" s="10" t="s">
        <v>8</v>
      </c>
      <c r="D2" s="10" t="s">
        <v>6</v>
      </c>
      <c r="E2" s="11" t="s">
        <v>6</v>
      </c>
      <c r="F2" s="10" t="s">
        <v>7</v>
      </c>
      <c r="G2" s="10" t="s">
        <v>9</v>
      </c>
      <c r="H2" s="10" t="s">
        <v>10</v>
      </c>
      <c r="I2" s="10" t="s">
        <v>11</v>
      </c>
      <c r="J2" s="11" t="s">
        <v>19</v>
      </c>
      <c r="K2" s="11" t="s">
        <v>19</v>
      </c>
      <c r="L2" s="12">
        <v>41926</v>
      </c>
      <c r="M2" s="12">
        <v>42016</v>
      </c>
      <c r="N2" s="12">
        <v>42369</v>
      </c>
      <c r="O2" s="6"/>
      <c r="P2" s="13">
        <v>42369</v>
      </c>
      <c r="Q2" s="10" t="s">
        <v>12</v>
      </c>
      <c r="R2" s="20">
        <v>300</v>
      </c>
      <c r="S2" s="23">
        <v>13443.710000000001</v>
      </c>
      <c r="T2" s="23">
        <v>13443.71</v>
      </c>
      <c r="U2" s="23">
        <v>0</v>
      </c>
      <c r="V2" s="23">
        <v>0</v>
      </c>
      <c r="W2" s="30">
        <f>V2/S2</f>
        <v>0</v>
      </c>
    </row>
    <row r="3" spans="1:23" ht="30" customHeight="1" x14ac:dyDescent="0.25">
      <c r="A3" s="3" t="s">
        <v>13</v>
      </c>
      <c r="B3" s="3" t="s">
        <v>14</v>
      </c>
      <c r="C3" s="3" t="s">
        <v>16</v>
      </c>
      <c r="D3" s="3" t="s">
        <v>15</v>
      </c>
      <c r="E3" s="3" t="s">
        <v>15</v>
      </c>
      <c r="F3" s="3" t="s">
        <v>7</v>
      </c>
      <c r="G3" s="3" t="s">
        <v>17</v>
      </c>
      <c r="H3" s="3" t="s">
        <v>18</v>
      </c>
      <c r="I3" s="3" t="s">
        <v>11</v>
      </c>
      <c r="J3" s="3" t="s">
        <v>19</v>
      </c>
      <c r="K3" s="3" t="s">
        <v>19</v>
      </c>
      <c r="L3" s="5">
        <v>40435</v>
      </c>
      <c r="M3" s="5">
        <v>40555</v>
      </c>
      <c r="N3" s="5">
        <v>42460</v>
      </c>
      <c r="O3" s="6"/>
      <c r="P3" s="7">
        <v>42460</v>
      </c>
      <c r="Q3" s="3" t="s">
        <v>20</v>
      </c>
      <c r="R3" s="20">
        <v>400</v>
      </c>
      <c r="S3" s="24">
        <v>21782</v>
      </c>
      <c r="T3" s="24">
        <v>17230</v>
      </c>
      <c r="U3" s="24">
        <v>0</v>
      </c>
      <c r="V3" s="24">
        <v>4552</v>
      </c>
      <c r="W3" s="30">
        <f t="shared" ref="W3:W60" si="0">V3/S3</f>
        <v>0.20897989165365899</v>
      </c>
    </row>
    <row r="4" spans="1:23" ht="30" customHeight="1" x14ac:dyDescent="0.25">
      <c r="A4" s="3" t="s">
        <v>21</v>
      </c>
      <c r="B4" s="3" t="s">
        <v>22</v>
      </c>
      <c r="C4" s="3" t="s">
        <v>8</v>
      </c>
      <c r="D4" s="3" t="s">
        <v>15</v>
      </c>
      <c r="E4" s="3" t="s">
        <v>15</v>
      </c>
      <c r="F4" s="3" t="s">
        <v>7</v>
      </c>
      <c r="G4" s="3" t="s">
        <v>9</v>
      </c>
      <c r="H4" s="3" t="s">
        <v>23</v>
      </c>
      <c r="I4" s="3" t="s">
        <v>11</v>
      </c>
      <c r="J4" s="3" t="s">
        <v>19</v>
      </c>
      <c r="K4" s="3" t="s">
        <v>19</v>
      </c>
      <c r="L4" s="5">
        <v>41631</v>
      </c>
      <c r="M4" s="5">
        <v>41698</v>
      </c>
      <c r="N4" s="5">
        <v>42004</v>
      </c>
      <c r="O4" s="5">
        <v>42185</v>
      </c>
      <c r="P4" s="7">
        <v>42185</v>
      </c>
      <c r="Q4" s="3" t="s">
        <v>20</v>
      </c>
      <c r="R4" s="20">
        <v>500</v>
      </c>
      <c r="S4" s="23">
        <v>22406.183333333334</v>
      </c>
      <c r="T4" s="23">
        <v>22406.183333333334</v>
      </c>
      <c r="U4" s="23">
        <v>0</v>
      </c>
      <c r="V4" s="23">
        <v>0</v>
      </c>
      <c r="W4" s="30">
        <f t="shared" si="0"/>
        <v>0</v>
      </c>
    </row>
    <row r="5" spans="1:23" ht="30" customHeight="1" x14ac:dyDescent="0.25">
      <c r="A5" s="3" t="s">
        <v>24</v>
      </c>
      <c r="B5" s="3" t="s">
        <v>25</v>
      </c>
      <c r="C5" s="3" t="s">
        <v>8</v>
      </c>
      <c r="D5" s="3" t="s">
        <v>15</v>
      </c>
      <c r="E5" s="3" t="s">
        <v>15</v>
      </c>
      <c r="F5" s="3" t="s">
        <v>7</v>
      </c>
      <c r="G5" s="3" t="s">
        <v>9</v>
      </c>
      <c r="H5" s="3" t="s">
        <v>26</v>
      </c>
      <c r="I5" s="3" t="s">
        <v>11</v>
      </c>
      <c r="J5" s="3" t="s">
        <v>19</v>
      </c>
      <c r="K5" s="3" t="s">
        <v>19</v>
      </c>
      <c r="L5" s="5">
        <v>41684</v>
      </c>
      <c r="M5" s="5">
        <v>41786</v>
      </c>
      <c r="N5" s="5">
        <v>42004</v>
      </c>
      <c r="O5" s="6"/>
      <c r="P5" s="7">
        <v>42004</v>
      </c>
      <c r="Q5" s="3" t="s">
        <v>27</v>
      </c>
      <c r="R5" s="20">
        <v>250</v>
      </c>
      <c r="S5" s="23">
        <v>11203.091666666667</v>
      </c>
      <c r="T5" s="23">
        <v>11203.091666666667</v>
      </c>
      <c r="U5" s="23">
        <v>0</v>
      </c>
      <c r="V5" s="23">
        <v>0</v>
      </c>
      <c r="W5" s="30">
        <f t="shared" si="0"/>
        <v>0</v>
      </c>
    </row>
    <row r="6" spans="1:23" ht="33.75" customHeight="1" x14ac:dyDescent="0.25">
      <c r="A6" s="3" t="s">
        <v>28</v>
      </c>
      <c r="B6" s="3" t="s">
        <v>29</v>
      </c>
      <c r="C6" s="3" t="s">
        <v>8</v>
      </c>
      <c r="D6" s="3" t="s">
        <v>30</v>
      </c>
      <c r="E6" s="3" t="s">
        <v>30</v>
      </c>
      <c r="F6" s="3" t="s">
        <v>7</v>
      </c>
      <c r="G6" s="3" t="s">
        <v>31</v>
      </c>
      <c r="H6" s="3" t="s">
        <v>31</v>
      </c>
      <c r="I6" s="3" t="s">
        <v>11</v>
      </c>
      <c r="J6" s="3" t="s">
        <v>19</v>
      </c>
      <c r="K6" s="3" t="s">
        <v>19</v>
      </c>
      <c r="L6" s="5">
        <v>41192</v>
      </c>
      <c r="M6" s="5">
        <v>41260</v>
      </c>
      <c r="N6" s="5">
        <v>42355</v>
      </c>
      <c r="O6" s="6"/>
      <c r="P6" s="7">
        <v>42355</v>
      </c>
      <c r="Q6" s="3" t="s">
        <v>27</v>
      </c>
      <c r="R6" s="20">
        <v>75.94</v>
      </c>
      <c r="S6" s="23">
        <v>3403.051124666667</v>
      </c>
      <c r="T6" s="23">
        <v>3403.051124666667</v>
      </c>
      <c r="U6" s="23">
        <v>0</v>
      </c>
      <c r="V6" s="23">
        <v>0</v>
      </c>
      <c r="W6" s="30">
        <f t="shared" si="0"/>
        <v>0</v>
      </c>
    </row>
    <row r="7" spans="1:23" ht="15" customHeight="1" x14ac:dyDescent="0.25">
      <c r="A7" s="3" t="s">
        <v>32</v>
      </c>
      <c r="B7" s="3" t="s">
        <v>33</v>
      </c>
      <c r="C7" s="3" t="s">
        <v>8</v>
      </c>
      <c r="D7" s="3" t="s">
        <v>30</v>
      </c>
      <c r="E7" s="3" t="s">
        <v>30</v>
      </c>
      <c r="F7" s="3" t="s">
        <v>7</v>
      </c>
      <c r="G7" s="3" t="s">
        <v>9</v>
      </c>
      <c r="H7" s="3" t="s">
        <v>23</v>
      </c>
      <c r="I7" s="3" t="s">
        <v>11</v>
      </c>
      <c r="J7" s="3" t="s">
        <v>19</v>
      </c>
      <c r="K7" s="3" t="s">
        <v>19</v>
      </c>
      <c r="L7" s="5">
        <v>41717</v>
      </c>
      <c r="M7" s="5">
        <v>41724</v>
      </c>
      <c r="N7" s="5">
        <v>42820</v>
      </c>
      <c r="O7" s="6"/>
      <c r="P7" s="7">
        <v>42820</v>
      </c>
      <c r="Q7" s="3" t="s">
        <v>20</v>
      </c>
      <c r="R7" s="20">
        <v>438.33</v>
      </c>
      <c r="S7" s="23">
        <v>19642.604681000001</v>
      </c>
      <c r="T7" s="23">
        <v>19642.604681000001</v>
      </c>
      <c r="U7" s="23">
        <v>0</v>
      </c>
      <c r="V7" s="23">
        <v>0</v>
      </c>
      <c r="W7" s="30">
        <f t="shared" si="0"/>
        <v>0</v>
      </c>
    </row>
    <row r="8" spans="1:23" ht="30" customHeight="1" x14ac:dyDescent="0.25">
      <c r="A8" s="3" t="s">
        <v>34</v>
      </c>
      <c r="B8" s="3" t="s">
        <v>35</v>
      </c>
      <c r="C8" s="3" t="s">
        <v>38</v>
      </c>
      <c r="D8" s="3" t="s">
        <v>36</v>
      </c>
      <c r="E8" s="3" t="s">
        <v>37</v>
      </c>
      <c r="F8" s="3" t="s">
        <v>7</v>
      </c>
      <c r="G8" s="3" t="s">
        <v>39</v>
      </c>
      <c r="H8" s="3" t="s">
        <v>40</v>
      </c>
      <c r="I8" s="3" t="s">
        <v>41</v>
      </c>
      <c r="J8" s="3" t="s">
        <v>42</v>
      </c>
      <c r="K8" s="3" t="s">
        <v>43</v>
      </c>
      <c r="L8" s="5">
        <v>40058</v>
      </c>
      <c r="M8" s="5">
        <v>40126</v>
      </c>
      <c r="N8" s="5">
        <v>42916</v>
      </c>
      <c r="O8" s="6"/>
      <c r="P8" s="7">
        <v>42916</v>
      </c>
      <c r="Q8" s="3" t="s">
        <v>20</v>
      </c>
      <c r="R8" s="20">
        <v>15.9</v>
      </c>
      <c r="S8" s="25">
        <v>1943</v>
      </c>
      <c r="T8" s="25">
        <v>731</v>
      </c>
      <c r="U8" s="25">
        <v>651</v>
      </c>
      <c r="V8" s="25">
        <v>560.72</v>
      </c>
      <c r="W8" s="30">
        <f t="shared" si="0"/>
        <v>0.2885846628924344</v>
      </c>
    </row>
    <row r="9" spans="1:23" ht="30" customHeight="1" x14ac:dyDescent="0.25">
      <c r="A9" s="3" t="s">
        <v>44</v>
      </c>
      <c r="B9" s="3" t="s">
        <v>45</v>
      </c>
      <c r="C9" s="3" t="s">
        <v>8</v>
      </c>
      <c r="D9" s="3" t="s">
        <v>6</v>
      </c>
      <c r="E9" s="3" t="s">
        <v>6</v>
      </c>
      <c r="F9" s="3" t="s">
        <v>7</v>
      </c>
      <c r="G9" s="3" t="s">
        <v>9</v>
      </c>
      <c r="H9" s="3" t="s">
        <v>10</v>
      </c>
      <c r="I9" s="3" t="s">
        <v>11</v>
      </c>
      <c r="J9" s="3" t="s">
        <v>19</v>
      </c>
      <c r="K9" s="3" t="s">
        <v>19</v>
      </c>
      <c r="L9" s="5">
        <v>41384</v>
      </c>
      <c r="M9" s="5">
        <v>41460</v>
      </c>
      <c r="N9" s="5">
        <v>42004</v>
      </c>
      <c r="O9" s="6"/>
      <c r="P9" s="7">
        <v>42004</v>
      </c>
      <c r="Q9" s="3" t="s">
        <v>27</v>
      </c>
      <c r="R9" s="20">
        <v>300</v>
      </c>
      <c r="S9" s="23">
        <v>13443.710000000001</v>
      </c>
      <c r="T9" s="23">
        <v>13443.71</v>
      </c>
      <c r="U9" s="23">
        <v>0</v>
      </c>
      <c r="V9" s="23">
        <v>0</v>
      </c>
      <c r="W9" s="30">
        <f t="shared" si="0"/>
        <v>0</v>
      </c>
    </row>
    <row r="10" spans="1:23" ht="30" customHeight="1" x14ac:dyDescent="0.25">
      <c r="A10" s="3" t="s">
        <v>46</v>
      </c>
      <c r="B10" s="3" t="s">
        <v>47</v>
      </c>
      <c r="C10" s="3" t="s">
        <v>16</v>
      </c>
      <c r="D10" s="3" t="s">
        <v>6</v>
      </c>
      <c r="E10" s="3" t="s">
        <v>6</v>
      </c>
      <c r="F10" s="3" t="s">
        <v>7</v>
      </c>
      <c r="G10" s="3" t="s">
        <v>17</v>
      </c>
      <c r="H10" s="3" t="s">
        <v>18</v>
      </c>
      <c r="I10" s="3" t="s">
        <v>11</v>
      </c>
      <c r="J10" s="3" t="s">
        <v>19</v>
      </c>
      <c r="K10" s="3" t="s">
        <v>19</v>
      </c>
      <c r="L10" s="5">
        <v>40185</v>
      </c>
      <c r="M10" s="5">
        <v>40228</v>
      </c>
      <c r="N10" s="5">
        <v>41820</v>
      </c>
      <c r="O10" s="5">
        <v>42369</v>
      </c>
      <c r="P10" s="7">
        <v>42369</v>
      </c>
      <c r="Q10" s="3" t="s">
        <v>20</v>
      </c>
      <c r="R10" s="20">
        <v>405</v>
      </c>
      <c r="S10" s="24">
        <v>22013</v>
      </c>
      <c r="T10" s="24">
        <v>17413</v>
      </c>
      <c r="U10" s="24">
        <v>0</v>
      </c>
      <c r="V10" s="24">
        <v>4601</v>
      </c>
      <c r="W10" s="30">
        <f t="shared" si="0"/>
        <v>0.20901285603961295</v>
      </c>
    </row>
    <row r="11" spans="1:23" ht="30" customHeight="1" x14ac:dyDescent="0.25">
      <c r="A11" s="3" t="s">
        <v>48</v>
      </c>
      <c r="B11" s="3" t="s">
        <v>49</v>
      </c>
      <c r="C11" s="3" t="s">
        <v>16</v>
      </c>
      <c r="D11" s="3" t="s">
        <v>6</v>
      </c>
      <c r="E11" s="3" t="s">
        <v>6</v>
      </c>
      <c r="F11" s="3" t="s">
        <v>7</v>
      </c>
      <c r="G11" s="3" t="s">
        <v>17</v>
      </c>
      <c r="H11" s="3" t="s">
        <v>18</v>
      </c>
      <c r="I11" s="3" t="s">
        <v>11</v>
      </c>
      <c r="J11" s="3" t="s">
        <v>19</v>
      </c>
      <c r="K11" s="3" t="s">
        <v>19</v>
      </c>
      <c r="L11" s="5">
        <v>41304</v>
      </c>
      <c r="M11" s="5">
        <v>41396</v>
      </c>
      <c r="N11" s="5">
        <v>42369</v>
      </c>
      <c r="O11" s="6"/>
      <c r="P11" s="7">
        <v>42369</v>
      </c>
      <c r="Q11" s="3" t="s">
        <v>20</v>
      </c>
      <c r="R11" s="20">
        <v>100</v>
      </c>
      <c r="S11" s="24">
        <v>5786</v>
      </c>
      <c r="T11" s="24">
        <v>4339</v>
      </c>
      <c r="U11" s="24">
        <v>0</v>
      </c>
      <c r="V11" s="24">
        <v>1446</v>
      </c>
      <c r="W11" s="30">
        <f t="shared" si="0"/>
        <v>0.24991358451434498</v>
      </c>
    </row>
    <row r="12" spans="1:23" ht="30" customHeight="1" x14ac:dyDescent="0.25">
      <c r="A12" s="3" t="s">
        <v>50</v>
      </c>
      <c r="B12" s="3" t="s">
        <v>51</v>
      </c>
      <c r="C12" s="3" t="s">
        <v>52</v>
      </c>
      <c r="D12" s="3" t="s">
        <v>6</v>
      </c>
      <c r="E12" s="3" t="s">
        <v>6</v>
      </c>
      <c r="F12" s="3" t="s">
        <v>7</v>
      </c>
      <c r="G12" s="3" t="s">
        <v>17</v>
      </c>
      <c r="H12" s="3" t="s">
        <v>53</v>
      </c>
      <c r="I12" s="3" t="s">
        <v>41</v>
      </c>
      <c r="J12" s="3" t="s">
        <v>42</v>
      </c>
      <c r="K12" s="3" t="s">
        <v>54</v>
      </c>
      <c r="L12" s="5">
        <v>41739</v>
      </c>
      <c r="M12" s="5">
        <v>41814</v>
      </c>
      <c r="N12" s="5">
        <v>43343</v>
      </c>
      <c r="O12" s="6"/>
      <c r="P12" s="7">
        <v>43343</v>
      </c>
      <c r="Q12" s="3" t="s">
        <v>20</v>
      </c>
      <c r="R12" s="20">
        <v>300</v>
      </c>
      <c r="S12" s="24">
        <v>13443.710000000001</v>
      </c>
      <c r="T12" s="24">
        <v>13443.710000000001</v>
      </c>
      <c r="U12" s="24">
        <v>0</v>
      </c>
      <c r="V12" s="24">
        <v>0</v>
      </c>
      <c r="W12" s="30">
        <f t="shared" si="0"/>
        <v>0</v>
      </c>
    </row>
    <row r="13" spans="1:23" ht="30" customHeight="1" x14ac:dyDescent="0.25">
      <c r="A13" s="3" t="s">
        <v>55</v>
      </c>
      <c r="B13" s="3" t="s">
        <v>56</v>
      </c>
      <c r="C13" s="3" t="s">
        <v>8</v>
      </c>
      <c r="D13" s="3" t="s">
        <v>6</v>
      </c>
      <c r="E13" s="3" t="s">
        <v>6</v>
      </c>
      <c r="F13" s="3" t="s">
        <v>7</v>
      </c>
      <c r="G13" s="3" t="s">
        <v>17</v>
      </c>
      <c r="H13" s="3" t="s">
        <v>18</v>
      </c>
      <c r="I13" s="3" t="s">
        <v>11</v>
      </c>
      <c r="J13" s="3" t="s">
        <v>19</v>
      </c>
      <c r="K13" s="4" t="s">
        <v>19</v>
      </c>
      <c r="L13" s="5">
        <v>40809</v>
      </c>
      <c r="M13" s="5">
        <v>40892</v>
      </c>
      <c r="N13" s="5">
        <v>41943</v>
      </c>
      <c r="O13" s="6"/>
      <c r="P13" s="7">
        <v>41943</v>
      </c>
      <c r="Q13" s="3" t="s">
        <v>27</v>
      </c>
      <c r="R13" s="20">
        <v>500</v>
      </c>
      <c r="S13" s="23">
        <v>22406.183333333334</v>
      </c>
      <c r="T13" s="23">
        <v>22406.183333333334</v>
      </c>
      <c r="U13" s="23">
        <v>0</v>
      </c>
      <c r="V13" s="23">
        <v>0</v>
      </c>
      <c r="W13" s="30">
        <f t="shared" si="0"/>
        <v>0</v>
      </c>
    </row>
    <row r="14" spans="1:23" ht="45" customHeight="1" x14ac:dyDescent="0.25">
      <c r="A14" s="3" t="s">
        <v>57</v>
      </c>
      <c r="B14" s="3" t="s">
        <v>58</v>
      </c>
      <c r="C14" s="3" t="s">
        <v>8</v>
      </c>
      <c r="D14" s="3" t="s">
        <v>6</v>
      </c>
      <c r="E14" s="3" t="s">
        <v>6</v>
      </c>
      <c r="F14" s="3" t="s">
        <v>7</v>
      </c>
      <c r="G14" s="3" t="s">
        <v>9</v>
      </c>
      <c r="H14" s="3" t="s">
        <v>23</v>
      </c>
      <c r="I14" s="3" t="s">
        <v>11</v>
      </c>
      <c r="J14" s="3" t="s">
        <v>19</v>
      </c>
      <c r="K14" s="3" t="s">
        <v>19</v>
      </c>
      <c r="L14" s="5">
        <v>41631</v>
      </c>
      <c r="M14" s="5">
        <v>41709</v>
      </c>
      <c r="N14" s="5">
        <v>42004</v>
      </c>
      <c r="O14" s="5">
        <v>42185</v>
      </c>
      <c r="P14" s="7">
        <v>42185</v>
      </c>
      <c r="Q14" s="3" t="s">
        <v>20</v>
      </c>
      <c r="R14" s="20">
        <v>500</v>
      </c>
      <c r="S14" s="23">
        <v>22406.183333333334</v>
      </c>
      <c r="T14" s="23">
        <v>22406.183333333334</v>
      </c>
      <c r="U14" s="23">
        <v>0</v>
      </c>
      <c r="V14" s="23">
        <v>0</v>
      </c>
      <c r="W14" s="30">
        <f t="shared" si="0"/>
        <v>0</v>
      </c>
    </row>
    <row r="15" spans="1:23" ht="45" x14ac:dyDescent="0.25">
      <c r="A15" s="3" t="s">
        <v>59</v>
      </c>
      <c r="B15" s="3" t="s">
        <v>60</v>
      </c>
      <c r="C15" s="3" t="s">
        <v>38</v>
      </c>
      <c r="D15" s="3" t="s">
        <v>6</v>
      </c>
      <c r="E15" s="4" t="s">
        <v>6</v>
      </c>
      <c r="F15" s="3" t="s">
        <v>61</v>
      </c>
      <c r="G15" s="3" t="s">
        <v>39</v>
      </c>
      <c r="H15" s="8" t="s">
        <v>40</v>
      </c>
      <c r="I15" s="8" t="s">
        <v>41</v>
      </c>
      <c r="J15" s="8" t="s">
        <v>42</v>
      </c>
      <c r="K15" s="8" t="s">
        <v>248</v>
      </c>
      <c r="L15" s="5">
        <v>41890</v>
      </c>
      <c r="M15" s="5">
        <v>41976</v>
      </c>
      <c r="N15" s="5">
        <v>44347</v>
      </c>
      <c r="O15" s="6"/>
      <c r="P15" s="7">
        <v>44347</v>
      </c>
      <c r="Q15" s="3" t="s">
        <v>62</v>
      </c>
      <c r="R15" s="20">
        <v>501.25</v>
      </c>
      <c r="S15" s="25">
        <v>27535</v>
      </c>
      <c r="T15" s="25">
        <v>20551</v>
      </c>
      <c r="U15" s="25">
        <v>287</v>
      </c>
      <c r="V15" s="25">
        <v>6696.9400000000005</v>
      </c>
      <c r="W15" s="30">
        <f t="shared" si="0"/>
        <v>0.24321554385327768</v>
      </c>
    </row>
    <row r="16" spans="1:23" ht="15" customHeight="1" x14ac:dyDescent="0.25">
      <c r="A16" s="3" t="s">
        <v>63</v>
      </c>
      <c r="B16" s="3" t="s">
        <v>64</v>
      </c>
      <c r="C16" s="3" t="s">
        <v>65</v>
      </c>
      <c r="D16" s="3" t="s">
        <v>6</v>
      </c>
      <c r="E16" s="4" t="s">
        <v>6</v>
      </c>
      <c r="F16" s="3" t="s">
        <v>61</v>
      </c>
      <c r="G16" s="3" t="s">
        <v>66</v>
      </c>
      <c r="H16" s="3" t="s">
        <v>67</v>
      </c>
      <c r="I16" s="3" t="s">
        <v>68</v>
      </c>
      <c r="J16" s="3" t="s">
        <v>69</v>
      </c>
      <c r="K16" s="4" t="s">
        <v>69</v>
      </c>
      <c r="L16" s="5">
        <v>41926</v>
      </c>
      <c r="M16" s="5">
        <v>41976</v>
      </c>
      <c r="N16" s="5">
        <v>44377</v>
      </c>
      <c r="O16" s="6"/>
      <c r="P16" s="7">
        <v>44377</v>
      </c>
      <c r="Q16" s="3" t="s">
        <v>62</v>
      </c>
      <c r="R16" s="20">
        <v>141</v>
      </c>
      <c r="S16" s="25">
        <v>10617.96</v>
      </c>
      <c r="T16" s="25">
        <v>8392.1299999999992</v>
      </c>
      <c r="U16" s="25">
        <v>0</v>
      </c>
      <c r="V16" s="25">
        <v>2225.83</v>
      </c>
      <c r="W16" s="30">
        <f t="shared" si="0"/>
        <v>0.20962877991629278</v>
      </c>
    </row>
    <row r="17" spans="1:23" ht="30" customHeight="1" x14ac:dyDescent="0.25">
      <c r="A17" s="3" t="s">
        <v>70</v>
      </c>
      <c r="B17" s="3" t="s">
        <v>71</v>
      </c>
      <c r="C17" s="3" t="s">
        <v>72</v>
      </c>
      <c r="D17" s="3" t="s">
        <v>15</v>
      </c>
      <c r="E17" s="3" t="s">
        <v>15</v>
      </c>
      <c r="F17" s="3" t="s">
        <v>61</v>
      </c>
      <c r="G17" s="3" t="s">
        <v>39</v>
      </c>
      <c r="H17" s="3" t="s">
        <v>40</v>
      </c>
      <c r="I17" s="3" t="s">
        <v>41</v>
      </c>
      <c r="J17" s="3" t="s">
        <v>42</v>
      </c>
      <c r="K17" s="3" t="s">
        <v>73</v>
      </c>
      <c r="L17" s="5">
        <v>39790</v>
      </c>
      <c r="M17" s="5">
        <v>39876</v>
      </c>
      <c r="N17" s="5">
        <v>42185</v>
      </c>
      <c r="O17" s="5">
        <v>42551</v>
      </c>
      <c r="P17" s="7">
        <v>42551</v>
      </c>
      <c r="Q17" s="3" t="s">
        <v>20</v>
      </c>
      <c r="R17" s="20">
        <v>70</v>
      </c>
      <c r="S17" s="25">
        <v>8647.2099999999991</v>
      </c>
      <c r="T17" s="25">
        <v>4497.3500000000004</v>
      </c>
      <c r="U17" s="25">
        <v>0</v>
      </c>
      <c r="V17" s="25">
        <v>4149.8559999999998</v>
      </c>
      <c r="W17" s="30">
        <f t="shared" si="0"/>
        <v>0.4799069295183071</v>
      </c>
    </row>
    <row r="18" spans="1:23" ht="15" customHeight="1" x14ac:dyDescent="0.25">
      <c r="A18" s="3" t="s">
        <v>74</v>
      </c>
      <c r="B18" s="3" t="s">
        <v>75</v>
      </c>
      <c r="C18" s="3" t="s">
        <v>76</v>
      </c>
      <c r="D18" s="3" t="s">
        <v>15</v>
      </c>
      <c r="E18" s="3" t="s">
        <v>15</v>
      </c>
      <c r="F18" s="3" t="s">
        <v>61</v>
      </c>
      <c r="G18" s="3" t="s">
        <v>66</v>
      </c>
      <c r="H18" s="3" t="s">
        <v>77</v>
      </c>
      <c r="I18" s="3" t="s">
        <v>11</v>
      </c>
      <c r="J18" s="3" t="s">
        <v>19</v>
      </c>
      <c r="K18" s="3" t="s">
        <v>19</v>
      </c>
      <c r="L18" s="5">
        <v>39874</v>
      </c>
      <c r="M18" s="5">
        <v>39961</v>
      </c>
      <c r="N18" s="5">
        <v>40847</v>
      </c>
      <c r="O18" s="5">
        <v>41767</v>
      </c>
      <c r="P18" s="7">
        <v>41767</v>
      </c>
      <c r="Q18" s="3" t="s">
        <v>27</v>
      </c>
      <c r="R18" s="20">
        <v>24.54</v>
      </c>
      <c r="S18" s="26">
        <v>2028.65</v>
      </c>
      <c r="T18" s="26">
        <v>1400.85</v>
      </c>
      <c r="U18" s="26">
        <v>0</v>
      </c>
      <c r="V18" s="26">
        <v>627.79999999999995</v>
      </c>
      <c r="W18" s="30">
        <f t="shared" si="0"/>
        <v>0.30946688684593199</v>
      </c>
    </row>
    <row r="19" spans="1:23" ht="30" customHeight="1" x14ac:dyDescent="0.25">
      <c r="A19" s="3" t="s">
        <v>78</v>
      </c>
      <c r="B19" s="3" t="s">
        <v>79</v>
      </c>
      <c r="C19" s="3" t="s">
        <v>80</v>
      </c>
      <c r="D19" s="3" t="s">
        <v>15</v>
      </c>
      <c r="E19" s="3" t="s">
        <v>15</v>
      </c>
      <c r="F19" s="3" t="s">
        <v>61</v>
      </c>
      <c r="G19" s="3" t="s">
        <v>39</v>
      </c>
      <c r="H19" s="3" t="s">
        <v>81</v>
      </c>
      <c r="I19" s="3" t="s">
        <v>41</v>
      </c>
      <c r="J19" s="3" t="s">
        <v>42</v>
      </c>
      <c r="K19" s="3" t="s">
        <v>82</v>
      </c>
      <c r="L19" s="5">
        <v>41355</v>
      </c>
      <c r="M19" s="5">
        <v>41495</v>
      </c>
      <c r="N19" s="5">
        <v>44196</v>
      </c>
      <c r="O19" s="6"/>
      <c r="P19" s="7">
        <v>44196</v>
      </c>
      <c r="Q19" s="3" t="s">
        <v>20</v>
      </c>
      <c r="R19" s="20">
        <v>100</v>
      </c>
      <c r="S19" s="25">
        <v>5986.46</v>
      </c>
      <c r="T19" s="25">
        <v>5160</v>
      </c>
      <c r="U19" s="25">
        <v>168.13</v>
      </c>
      <c r="V19" s="25">
        <v>658.33</v>
      </c>
      <c r="W19" s="30">
        <f t="shared" si="0"/>
        <v>0.10996983192070106</v>
      </c>
    </row>
    <row r="20" spans="1:23" ht="27" customHeight="1" x14ac:dyDescent="0.25">
      <c r="A20" s="3" t="s">
        <v>83</v>
      </c>
      <c r="B20" s="3" t="s">
        <v>84</v>
      </c>
      <c r="C20" s="3" t="s">
        <v>85</v>
      </c>
      <c r="D20" s="3" t="s">
        <v>15</v>
      </c>
      <c r="E20" s="3" t="s">
        <v>15</v>
      </c>
      <c r="F20" s="3" t="s">
        <v>61</v>
      </c>
      <c r="G20" s="3" t="s">
        <v>17</v>
      </c>
      <c r="H20" s="3" t="s">
        <v>86</v>
      </c>
      <c r="I20" s="9" t="s">
        <v>41</v>
      </c>
      <c r="J20" s="9" t="s">
        <v>42</v>
      </c>
      <c r="K20" s="9" t="s">
        <v>248</v>
      </c>
      <c r="L20" s="5">
        <v>39930</v>
      </c>
      <c r="M20" s="5">
        <v>40044</v>
      </c>
      <c r="N20" s="5">
        <v>42235</v>
      </c>
      <c r="O20" s="6"/>
      <c r="P20" s="7">
        <v>42235</v>
      </c>
      <c r="Q20" s="3" t="s">
        <v>20</v>
      </c>
      <c r="R20" s="20">
        <v>31.84</v>
      </c>
      <c r="S20" s="25">
        <v>1751.37</v>
      </c>
      <c r="T20" s="25">
        <v>1385.02</v>
      </c>
      <c r="U20" s="25">
        <v>17.98</v>
      </c>
      <c r="V20" s="25">
        <v>348.37</v>
      </c>
      <c r="W20" s="30">
        <f t="shared" si="0"/>
        <v>0.19891285108229559</v>
      </c>
    </row>
    <row r="21" spans="1:23" ht="30" customHeight="1" x14ac:dyDescent="0.25">
      <c r="A21" s="3" t="s">
        <v>87</v>
      </c>
      <c r="B21" s="3" t="s">
        <v>88</v>
      </c>
      <c r="C21" s="3" t="s">
        <v>80</v>
      </c>
      <c r="D21" s="3" t="s">
        <v>15</v>
      </c>
      <c r="E21" s="3" t="s">
        <v>15</v>
      </c>
      <c r="F21" s="3" t="s">
        <v>61</v>
      </c>
      <c r="G21" s="3" t="s">
        <v>39</v>
      </c>
      <c r="H21" s="3" t="s">
        <v>81</v>
      </c>
      <c r="I21" s="3" t="s">
        <v>41</v>
      </c>
      <c r="J21" s="3" t="s">
        <v>42</v>
      </c>
      <c r="K21" s="3" t="s">
        <v>89</v>
      </c>
      <c r="L21" s="5">
        <v>39169</v>
      </c>
      <c r="M21" s="5">
        <v>39262</v>
      </c>
      <c r="N21" s="5">
        <v>41455</v>
      </c>
      <c r="O21" s="5">
        <v>41820</v>
      </c>
      <c r="P21" s="7">
        <v>41820</v>
      </c>
      <c r="Q21" s="3" t="s">
        <v>27</v>
      </c>
      <c r="R21" s="20">
        <v>21.22</v>
      </c>
      <c r="S21" s="25">
        <v>2270.25</v>
      </c>
      <c r="T21" s="25">
        <v>1026.78</v>
      </c>
      <c r="U21" s="25">
        <v>392.4</v>
      </c>
      <c r="V21" s="25">
        <v>851.07</v>
      </c>
      <c r="W21" s="30">
        <f t="shared" si="0"/>
        <v>0.37487941856623724</v>
      </c>
    </row>
    <row r="22" spans="1:23" ht="30" customHeight="1" x14ac:dyDescent="0.25">
      <c r="A22" s="3" t="s">
        <v>90</v>
      </c>
      <c r="B22" s="3" t="s">
        <v>91</v>
      </c>
      <c r="C22" s="3" t="s">
        <v>76</v>
      </c>
      <c r="D22" s="3" t="s">
        <v>15</v>
      </c>
      <c r="E22" s="3" t="s">
        <v>15</v>
      </c>
      <c r="F22" s="3" t="s">
        <v>61</v>
      </c>
      <c r="G22" s="3" t="s">
        <v>66</v>
      </c>
      <c r="H22" s="3" t="s">
        <v>77</v>
      </c>
      <c r="I22" s="3" t="s">
        <v>41</v>
      </c>
      <c r="J22" s="3" t="s">
        <v>42</v>
      </c>
      <c r="K22" s="3" t="s">
        <v>92</v>
      </c>
      <c r="L22" s="5">
        <v>41544</v>
      </c>
      <c r="M22" s="5">
        <v>41621</v>
      </c>
      <c r="N22" s="5">
        <v>43281</v>
      </c>
      <c r="O22" s="6"/>
      <c r="P22" s="7">
        <v>43281</v>
      </c>
      <c r="Q22" s="3" t="s">
        <v>20</v>
      </c>
      <c r="R22" s="20">
        <v>100</v>
      </c>
      <c r="S22" s="25">
        <v>21672</v>
      </c>
      <c r="T22" s="25">
        <v>17200</v>
      </c>
      <c r="U22" s="25">
        <v>215</v>
      </c>
      <c r="V22" s="25">
        <v>4257</v>
      </c>
      <c r="W22" s="30">
        <f t="shared" si="0"/>
        <v>0.19642857142857142</v>
      </c>
    </row>
    <row r="23" spans="1:23" ht="15" customHeight="1" x14ac:dyDescent="0.25">
      <c r="A23" s="3" t="s">
        <v>93</v>
      </c>
      <c r="B23" s="3" t="s">
        <v>94</v>
      </c>
      <c r="C23" s="3" t="s">
        <v>95</v>
      </c>
      <c r="D23" s="3" t="s">
        <v>15</v>
      </c>
      <c r="E23" s="3" t="s">
        <v>15</v>
      </c>
      <c r="F23" s="3" t="s">
        <v>61</v>
      </c>
      <c r="G23" s="3" t="s">
        <v>66</v>
      </c>
      <c r="H23" s="3" t="s">
        <v>67</v>
      </c>
      <c r="I23" s="3" t="s">
        <v>41</v>
      </c>
      <c r="J23" s="3" t="s">
        <v>42</v>
      </c>
      <c r="K23" s="3" t="s">
        <v>96</v>
      </c>
      <c r="L23" s="5">
        <v>40980</v>
      </c>
      <c r="M23" s="5">
        <v>41110</v>
      </c>
      <c r="N23" s="5">
        <v>42551</v>
      </c>
      <c r="O23" s="6"/>
      <c r="P23" s="7">
        <v>42551</v>
      </c>
      <c r="Q23" s="3" t="s">
        <v>20</v>
      </c>
      <c r="R23" s="20">
        <v>62</v>
      </c>
      <c r="S23" s="25">
        <v>6934.68</v>
      </c>
      <c r="T23" s="25">
        <v>3956</v>
      </c>
      <c r="U23" s="25">
        <v>0</v>
      </c>
      <c r="V23" s="25">
        <v>2978.68</v>
      </c>
      <c r="W23" s="30">
        <f t="shared" si="0"/>
        <v>0.42953387899657947</v>
      </c>
    </row>
    <row r="24" spans="1:23" ht="30" customHeight="1" x14ac:dyDescent="0.25">
      <c r="A24" s="3" t="s">
        <v>97</v>
      </c>
      <c r="B24" s="3" t="s">
        <v>98</v>
      </c>
      <c r="C24" s="3" t="s">
        <v>16</v>
      </c>
      <c r="D24" s="3" t="s">
        <v>15</v>
      </c>
      <c r="E24" s="3" t="s">
        <v>15</v>
      </c>
      <c r="F24" s="3" t="s">
        <v>61</v>
      </c>
      <c r="G24" s="3" t="s">
        <v>17</v>
      </c>
      <c r="H24" s="3" t="s">
        <v>18</v>
      </c>
      <c r="I24" s="3" t="s">
        <v>41</v>
      </c>
      <c r="J24" s="3" t="s">
        <v>42</v>
      </c>
      <c r="K24" s="3" t="s">
        <v>99</v>
      </c>
      <c r="L24" s="5">
        <v>41724</v>
      </c>
      <c r="M24" s="5">
        <v>41800</v>
      </c>
      <c r="N24" s="5">
        <v>43281</v>
      </c>
      <c r="O24" s="6"/>
      <c r="P24" s="7">
        <v>43281</v>
      </c>
      <c r="Q24" s="3" t="s">
        <v>20</v>
      </c>
      <c r="R24" s="20">
        <v>372.1</v>
      </c>
      <c r="S24" s="25">
        <v>43944</v>
      </c>
      <c r="T24" s="25">
        <v>34555</v>
      </c>
      <c r="U24" s="25">
        <v>0</v>
      </c>
      <c r="V24" s="25">
        <v>9389</v>
      </c>
      <c r="W24" s="30">
        <f t="shared" si="0"/>
        <v>0.21365829237210995</v>
      </c>
    </row>
    <row r="25" spans="1:23" ht="30" customHeight="1" x14ac:dyDescent="0.25">
      <c r="A25" s="3" t="s">
        <v>101</v>
      </c>
      <c r="B25" s="3" t="s">
        <v>102</v>
      </c>
      <c r="C25" s="3" t="s">
        <v>104</v>
      </c>
      <c r="D25" s="3" t="s">
        <v>36</v>
      </c>
      <c r="E25" s="3" t="s">
        <v>103</v>
      </c>
      <c r="F25" s="3" t="s">
        <v>61</v>
      </c>
      <c r="G25" s="3" t="s">
        <v>9</v>
      </c>
      <c r="H25" s="3" t="s">
        <v>26</v>
      </c>
      <c r="I25" s="3" t="s">
        <v>11</v>
      </c>
      <c r="J25" s="3" t="s">
        <v>19</v>
      </c>
      <c r="K25" s="3" t="s">
        <v>19</v>
      </c>
      <c r="L25" s="5">
        <v>40920</v>
      </c>
      <c r="M25" s="5">
        <v>41004</v>
      </c>
      <c r="N25" s="5">
        <v>41734</v>
      </c>
      <c r="O25" s="6"/>
      <c r="P25" s="7">
        <v>41734</v>
      </c>
      <c r="Q25" s="3" t="s">
        <v>27</v>
      </c>
      <c r="R25" s="20">
        <v>25.64</v>
      </c>
      <c r="S25" s="24">
        <v>1530.88</v>
      </c>
      <c r="T25" s="24">
        <v>1332.09</v>
      </c>
      <c r="U25" s="24">
        <v>0</v>
      </c>
      <c r="V25" s="24">
        <v>198.78</v>
      </c>
      <c r="W25" s="30">
        <f t="shared" si="0"/>
        <v>0.129846885451505</v>
      </c>
    </row>
    <row r="26" spans="1:23" ht="30" customHeight="1" x14ac:dyDescent="0.25">
      <c r="A26" s="3" t="s">
        <v>105</v>
      </c>
      <c r="B26" s="3" t="s">
        <v>106</v>
      </c>
      <c r="C26" s="3" t="s">
        <v>109</v>
      </c>
      <c r="D26" s="3" t="s">
        <v>107</v>
      </c>
      <c r="E26" s="3" t="s">
        <v>108</v>
      </c>
      <c r="F26" s="3" t="s">
        <v>61</v>
      </c>
      <c r="G26" s="3" t="s">
        <v>66</v>
      </c>
      <c r="H26" s="3" t="s">
        <v>110</v>
      </c>
      <c r="I26" s="3" t="s">
        <v>111</v>
      </c>
      <c r="J26" s="3" t="s">
        <v>112</v>
      </c>
      <c r="K26" s="3" t="s">
        <v>112</v>
      </c>
      <c r="L26" s="5">
        <v>40185</v>
      </c>
      <c r="M26" s="5">
        <v>40305</v>
      </c>
      <c r="N26" s="5">
        <v>41766</v>
      </c>
      <c r="O26" s="6"/>
      <c r="P26" s="7">
        <v>41766</v>
      </c>
      <c r="Q26" s="3" t="s">
        <v>27</v>
      </c>
      <c r="R26" s="20">
        <v>115.328</v>
      </c>
      <c r="S26" s="24">
        <v>6089.5029999999997</v>
      </c>
      <c r="T26" s="24">
        <v>5537.4480000000003</v>
      </c>
      <c r="U26" s="24">
        <v>0</v>
      </c>
      <c r="V26" s="24">
        <v>552.005</v>
      </c>
      <c r="W26" s="30">
        <f t="shared" si="0"/>
        <v>9.0648612867092776E-2</v>
      </c>
    </row>
    <row r="27" spans="1:23" ht="15" customHeight="1" x14ac:dyDescent="0.25">
      <c r="A27" s="3" t="s">
        <v>113</v>
      </c>
      <c r="B27" s="3" t="s">
        <v>114</v>
      </c>
      <c r="C27" s="3" t="s">
        <v>72</v>
      </c>
      <c r="D27" s="3" t="s">
        <v>115</v>
      </c>
      <c r="E27" s="3" t="s">
        <v>116</v>
      </c>
      <c r="F27" s="3" t="s">
        <v>61</v>
      </c>
      <c r="G27" s="3" t="s">
        <v>66</v>
      </c>
      <c r="H27" s="3" t="s">
        <v>117</v>
      </c>
      <c r="I27" s="3" t="s">
        <v>11</v>
      </c>
      <c r="J27" s="3" t="s">
        <v>19</v>
      </c>
      <c r="K27" s="3" t="s">
        <v>19</v>
      </c>
      <c r="L27" s="5">
        <v>39806</v>
      </c>
      <c r="M27" s="5">
        <v>39863</v>
      </c>
      <c r="N27" s="5">
        <v>41324</v>
      </c>
      <c r="O27" s="5">
        <v>41689</v>
      </c>
      <c r="P27" s="7">
        <v>41689</v>
      </c>
      <c r="Q27" s="3" t="s">
        <v>27</v>
      </c>
      <c r="R27" s="20">
        <v>286.95</v>
      </c>
      <c r="S27" s="25">
        <v>18474.560000000001</v>
      </c>
      <c r="T27" s="25">
        <v>16511.09</v>
      </c>
      <c r="U27" s="25">
        <v>0</v>
      </c>
      <c r="V27" s="25">
        <v>1963.47</v>
      </c>
      <c r="W27" s="30">
        <f t="shared" si="0"/>
        <v>0.10627966241144579</v>
      </c>
    </row>
    <row r="28" spans="1:23" ht="15" customHeight="1" x14ac:dyDescent="0.25">
      <c r="A28" s="3" t="s">
        <v>118</v>
      </c>
      <c r="B28" s="3" t="s">
        <v>119</v>
      </c>
      <c r="C28" s="3" t="s">
        <v>121</v>
      </c>
      <c r="D28" s="3" t="s">
        <v>36</v>
      </c>
      <c r="E28" s="3" t="s">
        <v>120</v>
      </c>
      <c r="F28" s="3" t="s">
        <v>61</v>
      </c>
      <c r="G28" s="3" t="s">
        <v>66</v>
      </c>
      <c r="H28" s="3" t="s">
        <v>110</v>
      </c>
      <c r="I28" s="3" t="s">
        <v>41</v>
      </c>
      <c r="J28" s="3" t="s">
        <v>42</v>
      </c>
      <c r="K28" s="3" t="s">
        <v>122</v>
      </c>
      <c r="L28" s="5">
        <v>39994</v>
      </c>
      <c r="M28" s="5">
        <v>40630</v>
      </c>
      <c r="N28" s="5">
        <v>41639</v>
      </c>
      <c r="O28" s="5">
        <v>42369</v>
      </c>
      <c r="P28" s="7">
        <v>42369</v>
      </c>
      <c r="Q28" s="3" t="s">
        <v>20</v>
      </c>
      <c r="R28" s="20">
        <v>12.76</v>
      </c>
      <c r="S28" s="25">
        <v>1263.3</v>
      </c>
      <c r="T28" s="25">
        <v>652.79999999999995</v>
      </c>
      <c r="U28" s="25">
        <v>0</v>
      </c>
      <c r="V28" s="25">
        <v>610.5</v>
      </c>
      <c r="W28" s="30">
        <f t="shared" si="0"/>
        <v>0.48325813345998575</v>
      </c>
    </row>
    <row r="29" spans="1:23" ht="30" customHeight="1" x14ac:dyDescent="0.25">
      <c r="A29" s="3" t="s">
        <v>123</v>
      </c>
      <c r="B29" s="3" t="s">
        <v>124</v>
      </c>
      <c r="C29" s="3" t="s">
        <v>80</v>
      </c>
      <c r="D29" s="3" t="s">
        <v>115</v>
      </c>
      <c r="E29" s="3" t="s">
        <v>120</v>
      </c>
      <c r="F29" s="3" t="s">
        <v>61</v>
      </c>
      <c r="G29" s="3" t="s">
        <v>39</v>
      </c>
      <c r="H29" s="3" t="s">
        <v>81</v>
      </c>
      <c r="I29" s="3" t="s">
        <v>41</v>
      </c>
      <c r="J29" s="3" t="s">
        <v>42</v>
      </c>
      <c r="K29" s="3" t="s">
        <v>125</v>
      </c>
      <c r="L29" s="5">
        <v>39806</v>
      </c>
      <c r="M29" s="5">
        <v>40190</v>
      </c>
      <c r="N29" s="5">
        <v>42382</v>
      </c>
      <c r="O29" s="6"/>
      <c r="P29" s="7">
        <v>42382</v>
      </c>
      <c r="Q29" s="3" t="s">
        <v>20</v>
      </c>
      <c r="R29" s="20">
        <v>5</v>
      </c>
      <c r="S29" s="25">
        <v>568.75</v>
      </c>
      <c r="T29" s="25">
        <v>260</v>
      </c>
      <c r="U29" s="25">
        <v>195</v>
      </c>
      <c r="V29" s="25">
        <v>113.75</v>
      </c>
      <c r="W29" s="30">
        <f t="shared" si="0"/>
        <v>0.2</v>
      </c>
    </row>
    <row r="30" spans="1:23" ht="15" customHeight="1" x14ac:dyDescent="0.25">
      <c r="A30" s="4" t="s">
        <v>126</v>
      </c>
      <c r="B30" s="3" t="s">
        <v>127</v>
      </c>
      <c r="C30" s="3" t="s">
        <v>128</v>
      </c>
      <c r="D30" s="3" t="s">
        <v>115</v>
      </c>
      <c r="E30" s="3" t="s">
        <v>120</v>
      </c>
      <c r="F30" s="3" t="s">
        <v>61</v>
      </c>
      <c r="G30" s="3" t="s">
        <v>17</v>
      </c>
      <c r="H30" s="3" t="s">
        <v>86</v>
      </c>
      <c r="I30" s="3" t="s">
        <v>11</v>
      </c>
      <c r="J30" s="3" t="s">
        <v>42</v>
      </c>
      <c r="K30" s="3" t="s">
        <v>129</v>
      </c>
      <c r="L30" s="5">
        <v>39436</v>
      </c>
      <c r="M30" s="5">
        <v>39626</v>
      </c>
      <c r="N30" s="5">
        <v>40908</v>
      </c>
      <c r="O30" s="5">
        <v>42004</v>
      </c>
      <c r="P30" s="7">
        <v>42004</v>
      </c>
      <c r="Q30" s="3" t="s">
        <v>20</v>
      </c>
      <c r="R30" s="20">
        <v>12.513</v>
      </c>
      <c r="S30" s="24">
        <f>749398360/1000000</f>
        <v>749.39836000000003</v>
      </c>
      <c r="T30" s="24">
        <v>640</v>
      </c>
      <c r="U30" s="24">
        <v>0</v>
      </c>
      <c r="V30" s="24">
        <v>109.4</v>
      </c>
      <c r="W30" s="30">
        <f t="shared" si="0"/>
        <v>0.14598377290283901</v>
      </c>
    </row>
    <row r="31" spans="1:23" ht="30" customHeight="1" x14ac:dyDescent="0.25">
      <c r="A31" s="3" t="s">
        <v>130</v>
      </c>
      <c r="B31" s="3" t="s">
        <v>131</v>
      </c>
      <c r="C31" s="3" t="s">
        <v>132</v>
      </c>
      <c r="D31" s="3" t="s">
        <v>115</v>
      </c>
      <c r="E31" s="3" t="s">
        <v>120</v>
      </c>
      <c r="F31" s="3" t="s">
        <v>61</v>
      </c>
      <c r="G31" s="3" t="s">
        <v>66</v>
      </c>
      <c r="H31" s="3" t="s">
        <v>77</v>
      </c>
      <c r="I31" s="3" t="s">
        <v>11</v>
      </c>
      <c r="J31" s="3" t="s">
        <v>19</v>
      </c>
      <c r="K31" s="3" t="s">
        <v>19</v>
      </c>
      <c r="L31" s="5">
        <v>39806</v>
      </c>
      <c r="M31" s="5">
        <v>40140</v>
      </c>
      <c r="N31" s="5">
        <v>41274</v>
      </c>
      <c r="O31" s="5">
        <v>42019</v>
      </c>
      <c r="P31" s="7">
        <v>42019</v>
      </c>
      <c r="Q31" s="3" t="s">
        <v>20</v>
      </c>
      <c r="R31" s="20">
        <v>25.026</v>
      </c>
      <c r="S31" s="26">
        <v>1721.45</v>
      </c>
      <c r="T31" s="26">
        <v>1377.16</v>
      </c>
      <c r="U31" s="26">
        <v>0</v>
      </c>
      <c r="V31" s="26">
        <v>344.29</v>
      </c>
      <c r="W31" s="30">
        <f t="shared" si="0"/>
        <v>0.2</v>
      </c>
    </row>
    <row r="32" spans="1:23" ht="15" customHeight="1" x14ac:dyDescent="0.25">
      <c r="A32" s="3" t="s">
        <v>133</v>
      </c>
      <c r="B32" s="3" t="s">
        <v>134</v>
      </c>
      <c r="C32" s="3" t="s">
        <v>95</v>
      </c>
      <c r="D32" s="3" t="s">
        <v>30</v>
      </c>
      <c r="E32" s="3" t="s">
        <v>30</v>
      </c>
      <c r="F32" s="3" t="s">
        <v>61</v>
      </c>
      <c r="G32" s="3" t="s">
        <v>66</v>
      </c>
      <c r="H32" s="3" t="s">
        <v>110</v>
      </c>
      <c r="I32" s="3" t="s">
        <v>111</v>
      </c>
      <c r="J32" s="3" t="s">
        <v>112</v>
      </c>
      <c r="K32" s="3" t="s">
        <v>112</v>
      </c>
      <c r="L32" s="5">
        <v>39434</v>
      </c>
      <c r="M32" s="5">
        <v>39553</v>
      </c>
      <c r="N32" s="5">
        <v>42109</v>
      </c>
      <c r="O32" s="6"/>
      <c r="P32" s="7">
        <v>42109</v>
      </c>
      <c r="Q32" s="3" t="s">
        <v>20</v>
      </c>
      <c r="R32" s="20">
        <v>66.66</v>
      </c>
      <c r="S32" s="25">
        <v>5749.26</v>
      </c>
      <c r="T32" s="25">
        <v>3794.48</v>
      </c>
      <c r="U32" s="25">
        <v>0</v>
      </c>
      <c r="V32" s="25">
        <v>1954.78</v>
      </c>
      <c r="W32" s="30">
        <f t="shared" si="0"/>
        <v>0.34000549635953148</v>
      </c>
    </row>
    <row r="33" spans="1:23" ht="30" customHeight="1" x14ac:dyDescent="0.25">
      <c r="A33" s="3" t="s">
        <v>135</v>
      </c>
      <c r="B33" s="3" t="s">
        <v>136</v>
      </c>
      <c r="C33" s="3" t="s">
        <v>65</v>
      </c>
      <c r="D33" s="3" t="s">
        <v>30</v>
      </c>
      <c r="E33" s="3" t="s">
        <v>30</v>
      </c>
      <c r="F33" s="3" t="s">
        <v>61</v>
      </c>
      <c r="G33" s="3" t="s">
        <v>66</v>
      </c>
      <c r="H33" s="3" t="s">
        <v>67</v>
      </c>
      <c r="I33" s="3" t="s">
        <v>11</v>
      </c>
      <c r="J33" s="3" t="s">
        <v>19</v>
      </c>
      <c r="K33" s="3" t="s">
        <v>19</v>
      </c>
      <c r="L33" s="5">
        <v>41622</v>
      </c>
      <c r="M33" s="5">
        <v>41738</v>
      </c>
      <c r="N33" s="5">
        <v>44660</v>
      </c>
      <c r="O33" s="6"/>
      <c r="P33" s="7">
        <v>44660</v>
      </c>
      <c r="Q33" s="3" t="s">
        <v>20</v>
      </c>
      <c r="R33" s="20">
        <v>164.22</v>
      </c>
      <c r="S33" s="25">
        <v>9267</v>
      </c>
      <c r="T33" s="25">
        <v>7938</v>
      </c>
      <c r="U33" s="25">
        <v>0</v>
      </c>
      <c r="V33" s="25">
        <v>1329</v>
      </c>
      <c r="W33" s="30">
        <f t="shared" si="0"/>
        <v>0.14341210747814828</v>
      </c>
    </row>
    <row r="34" spans="1:23" ht="30" customHeight="1" x14ac:dyDescent="0.25">
      <c r="A34" s="3" t="s">
        <v>137</v>
      </c>
      <c r="B34" s="3" t="s">
        <v>138</v>
      </c>
      <c r="C34" s="3" t="s">
        <v>65</v>
      </c>
      <c r="D34" s="3" t="s">
        <v>30</v>
      </c>
      <c r="E34" s="3" t="s">
        <v>30</v>
      </c>
      <c r="F34" s="3" t="s">
        <v>61</v>
      </c>
      <c r="G34" s="3" t="s">
        <v>66</v>
      </c>
      <c r="H34" s="3" t="s">
        <v>67</v>
      </c>
      <c r="I34" s="3" t="s">
        <v>68</v>
      </c>
      <c r="J34" s="3" t="s">
        <v>69</v>
      </c>
      <c r="K34" s="3" t="s">
        <v>69</v>
      </c>
      <c r="L34" s="5">
        <v>41360</v>
      </c>
      <c r="M34" s="5">
        <v>41479</v>
      </c>
      <c r="N34" s="5">
        <v>44036</v>
      </c>
      <c r="O34" s="6"/>
      <c r="P34" s="7">
        <v>44036</v>
      </c>
      <c r="Q34" s="3" t="s">
        <v>20</v>
      </c>
      <c r="R34" s="20">
        <v>94.52</v>
      </c>
      <c r="S34" s="25">
        <v>7440</v>
      </c>
      <c r="T34" s="25">
        <v>5862</v>
      </c>
      <c r="U34" s="25">
        <v>0</v>
      </c>
      <c r="V34" s="25">
        <v>1578</v>
      </c>
      <c r="W34" s="30">
        <f t="shared" si="0"/>
        <v>0.21209677419354839</v>
      </c>
    </row>
    <row r="35" spans="1:23" ht="30" customHeight="1" x14ac:dyDescent="0.25">
      <c r="A35" s="3" t="s">
        <v>139</v>
      </c>
      <c r="B35" s="3" t="s">
        <v>140</v>
      </c>
      <c r="C35" s="3" t="s">
        <v>65</v>
      </c>
      <c r="D35" s="3" t="s">
        <v>30</v>
      </c>
      <c r="E35" s="3" t="s">
        <v>30</v>
      </c>
      <c r="F35" s="3" t="s">
        <v>61</v>
      </c>
      <c r="G35" s="3" t="s">
        <v>66</v>
      </c>
      <c r="H35" s="3" t="s">
        <v>67</v>
      </c>
      <c r="I35" s="3" t="s">
        <v>111</v>
      </c>
      <c r="J35" s="3" t="s">
        <v>141</v>
      </c>
      <c r="K35" s="3" t="s">
        <v>141</v>
      </c>
      <c r="L35" s="5">
        <v>41360</v>
      </c>
      <c r="M35" s="5">
        <v>41600</v>
      </c>
      <c r="N35" s="5">
        <v>44157</v>
      </c>
      <c r="O35" s="6"/>
      <c r="P35" s="7">
        <v>44157</v>
      </c>
      <c r="Q35" s="3" t="s">
        <v>20</v>
      </c>
      <c r="R35" s="20">
        <v>379.18</v>
      </c>
      <c r="S35" s="24">
        <v>9510.66</v>
      </c>
      <c r="T35" s="24">
        <v>3112.83</v>
      </c>
      <c r="U35" s="24">
        <v>0</v>
      </c>
      <c r="V35" s="24">
        <v>6397.83</v>
      </c>
      <c r="W35" s="30">
        <f t="shared" si="0"/>
        <v>0.67270094819917858</v>
      </c>
    </row>
    <row r="36" spans="1:23" ht="30" customHeight="1" x14ac:dyDescent="0.25">
      <c r="A36" s="3" t="s">
        <v>142</v>
      </c>
      <c r="B36" s="3" t="s">
        <v>143</v>
      </c>
      <c r="C36" s="3" t="s">
        <v>144</v>
      </c>
      <c r="D36" s="3" t="s">
        <v>30</v>
      </c>
      <c r="E36" s="3" t="s">
        <v>30</v>
      </c>
      <c r="F36" s="3" t="s">
        <v>61</v>
      </c>
      <c r="G36" s="3" t="s">
        <v>39</v>
      </c>
      <c r="H36" s="3" t="s">
        <v>81</v>
      </c>
      <c r="I36" s="3" t="s">
        <v>41</v>
      </c>
      <c r="J36" s="3" t="s">
        <v>42</v>
      </c>
      <c r="K36" s="3" t="s">
        <v>145</v>
      </c>
      <c r="L36" s="5">
        <v>40998</v>
      </c>
      <c r="M36" s="5">
        <v>41093</v>
      </c>
      <c r="N36" s="5">
        <v>43649</v>
      </c>
      <c r="O36" s="6"/>
      <c r="P36" s="7">
        <v>43649</v>
      </c>
      <c r="Q36" s="3" t="s">
        <v>20</v>
      </c>
      <c r="R36" s="20">
        <v>54.24</v>
      </c>
      <c r="S36" s="25">
        <v>4007.14</v>
      </c>
      <c r="T36" s="25">
        <v>3417.98</v>
      </c>
      <c r="U36" s="25">
        <v>0</v>
      </c>
      <c r="V36" s="25">
        <v>589.16</v>
      </c>
      <c r="W36" s="30">
        <f t="shared" si="0"/>
        <v>0.14702755581287402</v>
      </c>
    </row>
    <row r="37" spans="1:23" ht="30" customHeight="1" x14ac:dyDescent="0.25">
      <c r="A37" s="3" t="s">
        <v>146</v>
      </c>
      <c r="B37" s="3" t="s">
        <v>147</v>
      </c>
      <c r="C37" s="3" t="s">
        <v>95</v>
      </c>
      <c r="D37" s="3" t="s">
        <v>30</v>
      </c>
      <c r="E37" s="3" t="s">
        <v>30</v>
      </c>
      <c r="F37" s="3" t="s">
        <v>61</v>
      </c>
      <c r="G37" s="3" t="s">
        <v>66</v>
      </c>
      <c r="H37" s="3" t="s">
        <v>110</v>
      </c>
      <c r="I37" s="3" t="s">
        <v>41</v>
      </c>
      <c r="J37" s="3" t="s">
        <v>42</v>
      </c>
      <c r="K37" s="3" t="s">
        <v>148</v>
      </c>
      <c r="L37" s="5">
        <v>40998</v>
      </c>
      <c r="M37" s="5">
        <v>41093</v>
      </c>
      <c r="N37" s="5">
        <v>44015</v>
      </c>
      <c r="O37" s="6"/>
      <c r="P37" s="7">
        <v>44015</v>
      </c>
      <c r="Q37" s="3" t="s">
        <v>20</v>
      </c>
      <c r="R37" s="20">
        <v>66.150000000000006</v>
      </c>
      <c r="S37" s="25">
        <v>5587.3</v>
      </c>
      <c r="T37" s="25">
        <v>4169.0600000000004</v>
      </c>
      <c r="U37" s="25">
        <v>0</v>
      </c>
      <c r="V37" s="25">
        <v>1418.24</v>
      </c>
      <c r="W37" s="30">
        <f t="shared" si="0"/>
        <v>0.25383279938431802</v>
      </c>
    </row>
    <row r="38" spans="1:23" ht="30" customHeight="1" x14ac:dyDescent="0.25">
      <c r="A38" s="3" t="s">
        <v>149</v>
      </c>
      <c r="B38" s="3" t="s">
        <v>150</v>
      </c>
      <c r="C38" s="3" t="s">
        <v>95</v>
      </c>
      <c r="D38" s="3" t="s">
        <v>30</v>
      </c>
      <c r="E38" s="3" t="s">
        <v>30</v>
      </c>
      <c r="F38" s="3" t="s">
        <v>61</v>
      </c>
      <c r="G38" s="3" t="s">
        <v>66</v>
      </c>
      <c r="H38" s="3" t="s">
        <v>110</v>
      </c>
      <c r="I38" s="3" t="s">
        <v>111</v>
      </c>
      <c r="J38" s="3" t="s">
        <v>141</v>
      </c>
      <c r="K38" s="3" t="s">
        <v>141</v>
      </c>
      <c r="L38" s="5">
        <v>40998</v>
      </c>
      <c r="M38" s="5">
        <v>41093</v>
      </c>
      <c r="N38" s="5">
        <v>43649</v>
      </c>
      <c r="O38" s="6"/>
      <c r="P38" s="7">
        <v>43649</v>
      </c>
      <c r="Q38" s="3" t="s">
        <v>20</v>
      </c>
      <c r="R38" s="20">
        <v>103.76</v>
      </c>
      <c r="S38" s="25">
        <v>7545.16</v>
      </c>
      <c r="T38" s="25">
        <v>6539.48</v>
      </c>
      <c r="U38" s="25">
        <v>0</v>
      </c>
      <c r="V38" s="25">
        <v>1005.68</v>
      </c>
      <c r="W38" s="30">
        <f t="shared" si="0"/>
        <v>0.1332880946195972</v>
      </c>
    </row>
    <row r="39" spans="1:23" ht="30" customHeight="1" x14ac:dyDescent="0.25">
      <c r="A39" s="3" t="s">
        <v>151</v>
      </c>
      <c r="B39" s="3" t="s">
        <v>152</v>
      </c>
      <c r="C39" s="3" t="s">
        <v>72</v>
      </c>
      <c r="D39" s="3" t="s">
        <v>30</v>
      </c>
      <c r="E39" s="3" t="s">
        <v>30</v>
      </c>
      <c r="F39" s="3" t="s">
        <v>61</v>
      </c>
      <c r="G39" s="3" t="s">
        <v>39</v>
      </c>
      <c r="H39" s="3" t="s">
        <v>40</v>
      </c>
      <c r="I39" s="3" t="s">
        <v>41</v>
      </c>
      <c r="J39" s="3" t="s">
        <v>42</v>
      </c>
      <c r="K39" s="3" t="s">
        <v>153</v>
      </c>
      <c r="L39" s="5">
        <v>40998</v>
      </c>
      <c r="M39" s="5">
        <v>41093</v>
      </c>
      <c r="N39" s="5">
        <v>43649</v>
      </c>
      <c r="O39" s="6"/>
      <c r="P39" s="7">
        <v>43649</v>
      </c>
      <c r="Q39" s="3" t="s">
        <v>20</v>
      </c>
      <c r="R39" s="20">
        <v>53.15</v>
      </c>
      <c r="S39" s="25">
        <v>4402.74</v>
      </c>
      <c r="T39" s="25">
        <v>3349.99</v>
      </c>
      <c r="U39" s="25">
        <v>0</v>
      </c>
      <c r="V39" s="25">
        <v>1052.74</v>
      </c>
      <c r="W39" s="30">
        <f t="shared" si="0"/>
        <v>0.23911019047229681</v>
      </c>
    </row>
    <row r="40" spans="1:23" ht="15" customHeight="1" x14ac:dyDescent="0.25">
      <c r="A40" s="3" t="s">
        <v>154</v>
      </c>
      <c r="B40" s="3" t="s">
        <v>155</v>
      </c>
      <c r="C40" s="3" t="s">
        <v>95</v>
      </c>
      <c r="D40" s="3" t="s">
        <v>30</v>
      </c>
      <c r="E40" s="3" t="s">
        <v>30</v>
      </c>
      <c r="F40" s="3" t="s">
        <v>61</v>
      </c>
      <c r="G40" s="3" t="s">
        <v>66</v>
      </c>
      <c r="H40" s="3" t="s">
        <v>67</v>
      </c>
      <c r="I40" s="3" t="s">
        <v>111</v>
      </c>
      <c r="J40" s="3" t="s">
        <v>112</v>
      </c>
      <c r="K40" s="3" t="s">
        <v>112</v>
      </c>
      <c r="L40" s="5">
        <v>40998</v>
      </c>
      <c r="M40" s="5">
        <v>41093</v>
      </c>
      <c r="N40" s="5">
        <v>43649</v>
      </c>
      <c r="O40" s="6"/>
      <c r="P40" s="7">
        <v>43649</v>
      </c>
      <c r="Q40" s="3" t="s">
        <v>20</v>
      </c>
      <c r="R40" s="20">
        <v>40.25</v>
      </c>
      <c r="S40" s="25">
        <v>3341</v>
      </c>
      <c r="T40" s="25">
        <v>2537</v>
      </c>
      <c r="U40" s="25">
        <v>0</v>
      </c>
      <c r="V40" s="25">
        <v>804</v>
      </c>
      <c r="W40" s="30">
        <f t="shared" si="0"/>
        <v>0.24064651302005388</v>
      </c>
    </row>
    <row r="41" spans="1:23" ht="15" customHeight="1" x14ac:dyDescent="0.25">
      <c r="A41" s="3" t="s">
        <v>156</v>
      </c>
      <c r="B41" s="3" t="s">
        <v>157</v>
      </c>
      <c r="C41" s="3" t="s">
        <v>95</v>
      </c>
      <c r="D41" s="3" t="s">
        <v>30</v>
      </c>
      <c r="E41" s="3" t="s">
        <v>30</v>
      </c>
      <c r="F41" s="3" t="s">
        <v>61</v>
      </c>
      <c r="G41" s="3" t="s">
        <v>66</v>
      </c>
      <c r="H41" s="3" t="s">
        <v>67</v>
      </c>
      <c r="I41" s="3" t="s">
        <v>111</v>
      </c>
      <c r="J41" s="3" t="s">
        <v>112</v>
      </c>
      <c r="K41" s="3" t="s">
        <v>112</v>
      </c>
      <c r="L41" s="5">
        <v>40998</v>
      </c>
      <c r="M41" s="5">
        <v>41093</v>
      </c>
      <c r="N41" s="5">
        <v>43649</v>
      </c>
      <c r="O41" s="6"/>
      <c r="P41" s="7">
        <v>43649</v>
      </c>
      <c r="Q41" s="3" t="s">
        <v>20</v>
      </c>
      <c r="R41" s="20">
        <v>199.84</v>
      </c>
      <c r="S41" s="25">
        <v>15113</v>
      </c>
      <c r="T41" s="25">
        <v>10579</v>
      </c>
      <c r="U41" s="25">
        <v>0</v>
      </c>
      <c r="V41" s="25">
        <v>4534</v>
      </c>
      <c r="W41" s="30">
        <f t="shared" si="0"/>
        <v>0.30000661681995633</v>
      </c>
    </row>
    <row r="42" spans="1:23" ht="30" customHeight="1" x14ac:dyDescent="0.25">
      <c r="A42" s="3" t="s">
        <v>158</v>
      </c>
      <c r="B42" s="3" t="s">
        <v>159</v>
      </c>
      <c r="C42" s="3" t="s">
        <v>80</v>
      </c>
      <c r="D42" s="3" t="s">
        <v>30</v>
      </c>
      <c r="E42" s="3" t="s">
        <v>30</v>
      </c>
      <c r="F42" s="3" t="s">
        <v>61</v>
      </c>
      <c r="G42" s="3" t="s">
        <v>39</v>
      </c>
      <c r="H42" s="3" t="s">
        <v>81</v>
      </c>
      <c r="I42" s="3" t="s">
        <v>41</v>
      </c>
      <c r="J42" s="3" t="s">
        <v>42</v>
      </c>
      <c r="K42" s="3" t="s">
        <v>160</v>
      </c>
      <c r="L42" s="5">
        <v>40998</v>
      </c>
      <c r="M42" s="5">
        <v>41093</v>
      </c>
      <c r="N42" s="5">
        <v>44745</v>
      </c>
      <c r="O42" s="6"/>
      <c r="P42" s="7">
        <v>44745</v>
      </c>
      <c r="Q42" s="3" t="s">
        <v>20</v>
      </c>
      <c r="R42" s="20">
        <v>81.040000000000006</v>
      </c>
      <c r="S42" s="25">
        <v>5637.45</v>
      </c>
      <c r="T42" s="25">
        <v>4528.18</v>
      </c>
      <c r="U42" s="25">
        <v>0</v>
      </c>
      <c r="V42" s="25">
        <v>1109.27</v>
      </c>
      <c r="W42" s="30">
        <f t="shared" si="0"/>
        <v>0.19676804228862341</v>
      </c>
    </row>
    <row r="43" spans="1:23" ht="15" customHeight="1" x14ac:dyDescent="0.25">
      <c r="A43" s="3" t="s">
        <v>161</v>
      </c>
      <c r="B43" s="3" t="s">
        <v>162</v>
      </c>
      <c r="C43" s="3" t="s">
        <v>95</v>
      </c>
      <c r="D43" s="3" t="s">
        <v>30</v>
      </c>
      <c r="E43" s="3" t="s">
        <v>30</v>
      </c>
      <c r="F43" s="3" t="s">
        <v>61</v>
      </c>
      <c r="G43" s="3" t="s">
        <v>66</v>
      </c>
      <c r="H43" s="3" t="s">
        <v>67</v>
      </c>
      <c r="I43" s="3" t="s">
        <v>41</v>
      </c>
      <c r="J43" s="3" t="s">
        <v>42</v>
      </c>
      <c r="K43" s="3" t="s">
        <v>163</v>
      </c>
      <c r="L43" s="5">
        <v>40633</v>
      </c>
      <c r="M43" s="5">
        <v>40745</v>
      </c>
      <c r="N43" s="5">
        <v>45128</v>
      </c>
      <c r="O43" s="6"/>
      <c r="P43" s="7">
        <v>45128</v>
      </c>
      <c r="Q43" s="3" t="s">
        <v>20</v>
      </c>
      <c r="R43" s="20">
        <v>358.09</v>
      </c>
      <c r="S43" s="25">
        <v>34156.620000000003</v>
      </c>
      <c r="T43" s="25">
        <v>21383.29</v>
      </c>
      <c r="U43" s="25">
        <v>0</v>
      </c>
      <c r="V43" s="25">
        <v>12773.33</v>
      </c>
      <c r="W43" s="30">
        <f t="shared" si="0"/>
        <v>0.37396352449393411</v>
      </c>
    </row>
    <row r="44" spans="1:23" ht="15" customHeight="1" x14ac:dyDescent="0.25">
      <c r="A44" s="3" t="s">
        <v>164</v>
      </c>
      <c r="B44" s="3" t="s">
        <v>165</v>
      </c>
      <c r="C44" s="3" t="s">
        <v>85</v>
      </c>
      <c r="D44" s="3" t="s">
        <v>30</v>
      </c>
      <c r="E44" s="3" t="s">
        <v>30</v>
      </c>
      <c r="F44" s="3" t="s">
        <v>61</v>
      </c>
      <c r="G44" s="3" t="s">
        <v>66</v>
      </c>
      <c r="H44" s="3" t="s">
        <v>117</v>
      </c>
      <c r="I44" s="3" t="s">
        <v>11</v>
      </c>
      <c r="J44" s="3" t="s">
        <v>19</v>
      </c>
      <c r="K44" s="3" t="s">
        <v>19</v>
      </c>
      <c r="L44" s="5">
        <v>40126</v>
      </c>
      <c r="M44" s="5">
        <v>40171</v>
      </c>
      <c r="N44" s="5">
        <v>42728</v>
      </c>
      <c r="O44" s="6"/>
      <c r="P44" s="7">
        <v>42728</v>
      </c>
      <c r="Q44" s="3" t="s">
        <v>20</v>
      </c>
      <c r="R44" s="20">
        <v>266.33</v>
      </c>
      <c r="S44" s="25">
        <v>21564</v>
      </c>
      <c r="T44" s="25">
        <v>16000</v>
      </c>
      <c r="U44" s="25">
        <v>160</v>
      </c>
      <c r="V44" s="25">
        <v>5404</v>
      </c>
      <c r="W44" s="30">
        <f t="shared" si="0"/>
        <v>0.25060285661287329</v>
      </c>
    </row>
    <row r="45" spans="1:23" ht="45" customHeight="1" x14ac:dyDescent="0.25">
      <c r="A45" s="3" t="s">
        <v>166</v>
      </c>
      <c r="B45" s="3" t="s">
        <v>167</v>
      </c>
      <c r="C45" s="3" t="s">
        <v>132</v>
      </c>
      <c r="D45" s="3" t="s">
        <v>30</v>
      </c>
      <c r="E45" s="3" t="s">
        <v>30</v>
      </c>
      <c r="F45" s="3" t="s">
        <v>61</v>
      </c>
      <c r="G45" s="3" t="s">
        <v>39</v>
      </c>
      <c r="H45" s="8" t="s">
        <v>40</v>
      </c>
      <c r="I45" s="3" t="s">
        <v>11</v>
      </c>
      <c r="J45" s="3" t="s">
        <v>19</v>
      </c>
      <c r="K45" s="3" t="s">
        <v>19</v>
      </c>
      <c r="L45" s="5">
        <v>40142</v>
      </c>
      <c r="M45" s="5">
        <v>40260</v>
      </c>
      <c r="N45" s="5">
        <v>42817</v>
      </c>
      <c r="O45" s="6"/>
      <c r="P45" s="7">
        <v>42817</v>
      </c>
      <c r="Q45" s="3" t="s">
        <v>20</v>
      </c>
      <c r="R45" s="20">
        <v>128.06</v>
      </c>
      <c r="S45" s="25">
        <v>9695</v>
      </c>
      <c r="T45" s="25">
        <v>7770</v>
      </c>
      <c r="U45" s="25">
        <v>0</v>
      </c>
      <c r="V45" s="25">
        <v>1925</v>
      </c>
      <c r="W45" s="30">
        <f t="shared" si="0"/>
        <v>0.19855595667870035</v>
      </c>
    </row>
    <row r="46" spans="1:23" ht="30" customHeight="1" x14ac:dyDescent="0.25">
      <c r="A46" s="3" t="s">
        <v>168</v>
      </c>
      <c r="B46" s="3" t="s">
        <v>169</v>
      </c>
      <c r="C46" s="3" t="s">
        <v>72</v>
      </c>
      <c r="D46" s="3" t="s">
        <v>30</v>
      </c>
      <c r="E46" s="3" t="s">
        <v>30</v>
      </c>
      <c r="F46" s="3" t="s">
        <v>61</v>
      </c>
      <c r="G46" s="3" t="s">
        <v>39</v>
      </c>
      <c r="H46" s="3" t="s">
        <v>40</v>
      </c>
      <c r="I46" s="9" t="s">
        <v>41</v>
      </c>
      <c r="J46" s="9" t="s">
        <v>42</v>
      </c>
      <c r="K46" s="9" t="s">
        <v>248</v>
      </c>
      <c r="L46" s="5">
        <v>39434</v>
      </c>
      <c r="M46" s="5">
        <v>39553</v>
      </c>
      <c r="N46" s="5">
        <v>42840</v>
      </c>
      <c r="O46" s="6"/>
      <c r="P46" s="7">
        <v>42840</v>
      </c>
      <c r="Q46" s="3" t="s">
        <v>20</v>
      </c>
      <c r="R46" s="20">
        <v>103.46</v>
      </c>
      <c r="S46" s="25">
        <v>7964.5129999999999</v>
      </c>
      <c r="T46" s="25">
        <v>5973.56</v>
      </c>
      <c r="U46" s="25">
        <v>0</v>
      </c>
      <c r="V46" s="25">
        <v>1990.96</v>
      </c>
      <c r="W46" s="30">
        <f t="shared" si="0"/>
        <v>0.24997887504232841</v>
      </c>
    </row>
    <row r="47" spans="1:23" ht="30" customHeight="1" x14ac:dyDescent="0.25">
      <c r="A47" s="3" t="s">
        <v>170</v>
      </c>
      <c r="B47" s="3" t="s">
        <v>171</v>
      </c>
      <c r="C47" s="3" t="s">
        <v>65</v>
      </c>
      <c r="D47" s="3" t="s">
        <v>30</v>
      </c>
      <c r="E47" s="3" t="s">
        <v>30</v>
      </c>
      <c r="F47" s="3" t="s">
        <v>61</v>
      </c>
      <c r="G47" s="3" t="s">
        <v>66</v>
      </c>
      <c r="H47" s="3" t="s">
        <v>67</v>
      </c>
      <c r="I47" s="3" t="s">
        <v>11</v>
      </c>
      <c r="J47" s="3" t="s">
        <v>19</v>
      </c>
      <c r="K47" s="3" t="s">
        <v>19</v>
      </c>
      <c r="L47" s="5">
        <v>37343</v>
      </c>
      <c r="M47" s="5">
        <v>37673</v>
      </c>
      <c r="N47" s="5">
        <v>40230</v>
      </c>
      <c r="O47" s="5">
        <v>42876</v>
      </c>
      <c r="P47" s="7">
        <v>42876</v>
      </c>
      <c r="Q47" s="3" t="s">
        <v>20</v>
      </c>
      <c r="R47" s="20">
        <v>193.3</v>
      </c>
      <c r="S47" s="25">
        <v>10869.21</v>
      </c>
      <c r="T47" s="25">
        <v>7860.86</v>
      </c>
      <c r="U47" s="25">
        <v>0</v>
      </c>
      <c r="V47" s="25">
        <v>3008.42</v>
      </c>
      <c r="W47" s="30">
        <f t="shared" si="0"/>
        <v>0.27678368529083536</v>
      </c>
    </row>
    <row r="48" spans="1:23" ht="30" customHeight="1" x14ac:dyDescent="0.25">
      <c r="A48" s="3" t="s">
        <v>172</v>
      </c>
      <c r="B48" s="3" t="s">
        <v>173</v>
      </c>
      <c r="C48" s="3" t="s">
        <v>95</v>
      </c>
      <c r="D48" s="3" t="s">
        <v>30</v>
      </c>
      <c r="E48" s="3" t="s">
        <v>30</v>
      </c>
      <c r="F48" s="3" t="s">
        <v>61</v>
      </c>
      <c r="G48" s="3" t="s">
        <v>66</v>
      </c>
      <c r="H48" s="3" t="s">
        <v>110</v>
      </c>
      <c r="I48" s="3" t="s">
        <v>111</v>
      </c>
      <c r="J48" s="3" t="s">
        <v>141</v>
      </c>
      <c r="K48" s="3" t="s">
        <v>141</v>
      </c>
      <c r="L48" s="5">
        <v>39140</v>
      </c>
      <c r="M48" s="5">
        <v>39254</v>
      </c>
      <c r="N48" s="5">
        <v>42176</v>
      </c>
      <c r="O48" s="6"/>
      <c r="P48" s="7">
        <v>42176</v>
      </c>
      <c r="Q48" s="3" t="s">
        <v>20</v>
      </c>
      <c r="R48" s="20">
        <v>74.77</v>
      </c>
      <c r="S48" s="26">
        <v>5541.51</v>
      </c>
      <c r="T48" s="26">
        <v>4323.5200000000004</v>
      </c>
      <c r="U48" s="26">
        <v>0</v>
      </c>
      <c r="V48" s="26">
        <v>1217.99</v>
      </c>
      <c r="W48" s="30">
        <f t="shared" si="0"/>
        <v>0.21979388289473445</v>
      </c>
    </row>
    <row r="49" spans="1:23" ht="15" customHeight="1" x14ac:dyDescent="0.25">
      <c r="A49" s="3" t="s">
        <v>174</v>
      </c>
      <c r="B49" s="3" t="s">
        <v>175</v>
      </c>
      <c r="C49" s="3" t="s">
        <v>85</v>
      </c>
      <c r="D49" s="3" t="s">
        <v>30</v>
      </c>
      <c r="E49" s="3" t="s">
        <v>30</v>
      </c>
      <c r="F49" s="3" t="s">
        <v>61</v>
      </c>
      <c r="G49" s="3" t="s">
        <v>66</v>
      </c>
      <c r="H49" s="3" t="s">
        <v>176</v>
      </c>
      <c r="I49" s="3" t="s">
        <v>11</v>
      </c>
      <c r="J49" s="3" t="s">
        <v>19</v>
      </c>
      <c r="K49" s="3" t="s">
        <v>19</v>
      </c>
      <c r="L49" s="5">
        <v>39721</v>
      </c>
      <c r="M49" s="5">
        <v>39820</v>
      </c>
      <c r="N49" s="5">
        <v>42376</v>
      </c>
      <c r="O49" s="6"/>
      <c r="P49" s="7">
        <v>42376</v>
      </c>
      <c r="Q49" s="3" t="s">
        <v>20</v>
      </c>
      <c r="R49" s="20">
        <v>217.82</v>
      </c>
      <c r="S49" s="25">
        <v>11096</v>
      </c>
      <c r="T49" s="25">
        <v>10100</v>
      </c>
      <c r="U49" s="25"/>
      <c r="V49" s="25">
        <v>996</v>
      </c>
      <c r="W49" s="30">
        <f t="shared" si="0"/>
        <v>8.9762076423936549E-2</v>
      </c>
    </row>
    <row r="50" spans="1:23" ht="15" customHeight="1" x14ac:dyDescent="0.25">
      <c r="A50" s="3" t="s">
        <v>179</v>
      </c>
      <c r="B50" s="3" t="s">
        <v>180</v>
      </c>
      <c r="C50" s="3" t="s">
        <v>181</v>
      </c>
      <c r="D50" s="3" t="s">
        <v>115</v>
      </c>
      <c r="E50" s="3" t="s">
        <v>37</v>
      </c>
      <c r="F50" s="3" t="s">
        <v>61</v>
      </c>
      <c r="G50" s="3" t="s">
        <v>31</v>
      </c>
      <c r="H50" s="3" t="s">
        <v>31</v>
      </c>
      <c r="I50" s="3" t="s">
        <v>41</v>
      </c>
      <c r="J50" s="3" t="s">
        <v>42</v>
      </c>
      <c r="K50" s="3" t="s">
        <v>182</v>
      </c>
      <c r="L50" s="5">
        <v>38667</v>
      </c>
      <c r="M50" s="5">
        <v>39021</v>
      </c>
      <c r="N50" s="5">
        <v>41820</v>
      </c>
      <c r="O50" s="6"/>
      <c r="P50" s="7">
        <v>41820</v>
      </c>
      <c r="Q50" s="3" t="s">
        <v>27</v>
      </c>
      <c r="R50" s="20">
        <v>17.57</v>
      </c>
      <c r="S50" s="25">
        <v>1279.3399999999999</v>
      </c>
      <c r="T50" s="25">
        <v>1044.8900000000001</v>
      </c>
      <c r="U50" s="25">
        <v>29.77</v>
      </c>
      <c r="V50" s="25">
        <v>204.68</v>
      </c>
      <c r="W50" s="30">
        <f t="shared" si="0"/>
        <v>0.15998874419622619</v>
      </c>
    </row>
    <row r="51" spans="1:23" ht="30" customHeight="1" x14ac:dyDescent="0.25">
      <c r="A51" s="3" t="s">
        <v>183</v>
      </c>
      <c r="B51" s="3" t="s">
        <v>184</v>
      </c>
      <c r="C51" s="3" t="s">
        <v>38</v>
      </c>
      <c r="D51" s="3" t="s">
        <v>115</v>
      </c>
      <c r="E51" s="3" t="s">
        <v>37</v>
      </c>
      <c r="F51" s="3" t="s">
        <v>61</v>
      </c>
      <c r="G51" s="3" t="s">
        <v>39</v>
      </c>
      <c r="H51" s="3" t="s">
        <v>40</v>
      </c>
      <c r="I51" s="3" t="s">
        <v>111</v>
      </c>
      <c r="J51" s="3" t="s">
        <v>185</v>
      </c>
      <c r="K51" s="3" t="s">
        <v>185</v>
      </c>
      <c r="L51" s="5">
        <v>39603</v>
      </c>
      <c r="M51" s="5">
        <v>39767</v>
      </c>
      <c r="N51" s="5">
        <v>42505</v>
      </c>
      <c r="O51" s="6"/>
      <c r="P51" s="7">
        <v>42505</v>
      </c>
      <c r="Q51" s="3" t="s">
        <v>20</v>
      </c>
      <c r="R51" s="20">
        <v>22.97</v>
      </c>
      <c r="S51" s="25">
        <v>2263</v>
      </c>
      <c r="T51" s="25">
        <v>2018</v>
      </c>
      <c r="U51" s="25">
        <v>25</v>
      </c>
      <c r="V51" s="25">
        <v>220</v>
      </c>
      <c r="W51" s="30">
        <f t="shared" si="0"/>
        <v>9.7216084843128589E-2</v>
      </c>
    </row>
    <row r="52" spans="1:23" ht="30" customHeight="1" x14ac:dyDescent="0.25">
      <c r="A52" s="3" t="s">
        <v>186</v>
      </c>
      <c r="B52" s="3" t="s">
        <v>187</v>
      </c>
      <c r="C52" s="3" t="s">
        <v>72</v>
      </c>
      <c r="D52" s="3" t="s">
        <v>36</v>
      </c>
      <c r="E52" s="3" t="s">
        <v>188</v>
      </c>
      <c r="F52" s="3" t="s">
        <v>61</v>
      </c>
      <c r="G52" s="3" t="s">
        <v>39</v>
      </c>
      <c r="H52" s="3" t="s">
        <v>40</v>
      </c>
      <c r="I52" s="3" t="s">
        <v>189</v>
      </c>
      <c r="J52" s="3" t="s">
        <v>190</v>
      </c>
      <c r="K52" s="3" t="s">
        <v>191</v>
      </c>
      <c r="L52" s="5">
        <v>40851</v>
      </c>
      <c r="M52" s="5">
        <v>41516</v>
      </c>
      <c r="N52" s="5">
        <v>43566</v>
      </c>
      <c r="O52" s="6"/>
      <c r="P52" s="7">
        <v>43566</v>
      </c>
      <c r="Q52" s="3" t="s">
        <v>20</v>
      </c>
      <c r="R52" s="20">
        <v>34.207000000000001</v>
      </c>
      <c r="S52" s="25">
        <v>2518.75</v>
      </c>
      <c r="T52" s="25">
        <v>1571.4</v>
      </c>
      <c r="U52" s="25">
        <v>81.307000000000002</v>
      </c>
      <c r="V52" s="25">
        <v>866.31</v>
      </c>
      <c r="W52" s="30">
        <f t="shared" si="0"/>
        <v>0.34394441687344912</v>
      </c>
    </row>
    <row r="53" spans="1:23" ht="15" customHeight="1" x14ac:dyDescent="0.25">
      <c r="A53" s="3" t="s">
        <v>192</v>
      </c>
      <c r="B53" s="3" t="s">
        <v>193</v>
      </c>
      <c r="C53" s="3" t="s">
        <v>65</v>
      </c>
      <c r="D53" s="3" t="s">
        <v>115</v>
      </c>
      <c r="E53" s="3" t="s">
        <v>194</v>
      </c>
      <c r="F53" s="3" t="s">
        <v>61</v>
      </c>
      <c r="G53" s="3" t="s">
        <v>66</v>
      </c>
      <c r="H53" s="3" t="s">
        <v>67</v>
      </c>
      <c r="I53" s="3" t="s">
        <v>189</v>
      </c>
      <c r="J53" s="3" t="s">
        <v>195</v>
      </c>
      <c r="K53" s="3" t="s">
        <v>195</v>
      </c>
      <c r="L53" s="5">
        <v>35850</v>
      </c>
      <c r="M53" s="5">
        <v>35965</v>
      </c>
      <c r="N53" s="5">
        <v>37426</v>
      </c>
      <c r="O53" s="5">
        <v>41937</v>
      </c>
      <c r="P53" s="7">
        <v>41937</v>
      </c>
      <c r="Q53" s="3" t="s">
        <v>27</v>
      </c>
      <c r="R53" s="20">
        <v>89.45</v>
      </c>
      <c r="S53" s="25">
        <v>7853.43</v>
      </c>
      <c r="T53" s="25">
        <v>5016.6400000000003</v>
      </c>
      <c r="U53" s="25">
        <v>0</v>
      </c>
      <c r="V53" s="25">
        <v>2836.79</v>
      </c>
      <c r="W53" s="30">
        <f t="shared" si="0"/>
        <v>0.36121669130558237</v>
      </c>
    </row>
    <row r="54" spans="1:23" ht="15" customHeight="1" x14ac:dyDescent="0.25">
      <c r="A54" s="3" t="s">
        <v>196</v>
      </c>
      <c r="B54" s="3" t="s">
        <v>197</v>
      </c>
      <c r="C54" s="3" t="s">
        <v>95</v>
      </c>
      <c r="D54" s="3" t="s">
        <v>115</v>
      </c>
      <c r="E54" s="3" t="s">
        <v>194</v>
      </c>
      <c r="F54" s="3" t="s">
        <v>61</v>
      </c>
      <c r="G54" s="3" t="s">
        <v>66</v>
      </c>
      <c r="H54" s="3" t="s">
        <v>67</v>
      </c>
      <c r="I54" s="3" t="s">
        <v>111</v>
      </c>
      <c r="J54" s="3" t="s">
        <v>112</v>
      </c>
      <c r="K54" s="3" t="s">
        <v>112</v>
      </c>
      <c r="L54" s="5">
        <v>40007</v>
      </c>
      <c r="M54" s="5">
        <v>40106</v>
      </c>
      <c r="N54" s="5">
        <v>41749</v>
      </c>
      <c r="O54" s="5">
        <v>42113</v>
      </c>
      <c r="P54" s="7">
        <v>42113</v>
      </c>
      <c r="Q54" s="3" t="s">
        <v>20</v>
      </c>
      <c r="R54" s="20">
        <v>28.35</v>
      </c>
      <c r="S54" s="25">
        <v>2222.04</v>
      </c>
      <c r="T54" s="25">
        <v>1207.08</v>
      </c>
      <c r="U54" s="25">
        <v>0</v>
      </c>
      <c r="V54" s="25">
        <v>1014.97</v>
      </c>
      <c r="W54" s="30">
        <f t="shared" si="0"/>
        <v>0.45677395546434807</v>
      </c>
    </row>
    <row r="55" spans="1:23" ht="15" customHeight="1" x14ac:dyDescent="0.25">
      <c r="A55" s="3" t="s">
        <v>198</v>
      </c>
      <c r="B55" s="3" t="s">
        <v>199</v>
      </c>
      <c r="C55" s="3" t="s">
        <v>65</v>
      </c>
      <c r="D55" s="3" t="s">
        <v>36</v>
      </c>
      <c r="E55" s="3" t="s">
        <v>194</v>
      </c>
      <c r="F55" s="3" t="s">
        <v>61</v>
      </c>
      <c r="G55" s="3" t="s">
        <v>66</v>
      </c>
      <c r="H55" s="3" t="s">
        <v>67</v>
      </c>
      <c r="I55" s="3" t="s">
        <v>111</v>
      </c>
      <c r="J55" s="3" t="s">
        <v>200</v>
      </c>
      <c r="K55" s="3" t="s">
        <v>200</v>
      </c>
      <c r="L55" s="5">
        <v>41144</v>
      </c>
      <c r="M55" s="5">
        <v>41264</v>
      </c>
      <c r="N55" s="5">
        <v>42907</v>
      </c>
      <c r="O55" s="6"/>
      <c r="P55" s="7">
        <v>42907</v>
      </c>
      <c r="Q55" s="3" t="s">
        <v>20</v>
      </c>
      <c r="R55" s="20">
        <v>71.61</v>
      </c>
      <c r="S55" s="25">
        <v>4461</v>
      </c>
      <c r="T55" s="25">
        <v>3132</v>
      </c>
      <c r="U55" s="25">
        <v>0</v>
      </c>
      <c r="V55" s="25">
        <v>1329</v>
      </c>
      <c r="W55" s="30">
        <f t="shared" si="0"/>
        <v>0.29791526563550774</v>
      </c>
    </row>
    <row r="56" spans="1:23" ht="15" customHeight="1" x14ac:dyDescent="0.25">
      <c r="A56" s="3" t="s">
        <v>203</v>
      </c>
      <c r="B56" s="3" t="s">
        <v>204</v>
      </c>
      <c r="C56" s="3" t="s">
        <v>95</v>
      </c>
      <c r="D56" s="3" t="s">
        <v>36</v>
      </c>
      <c r="E56" s="3" t="s">
        <v>194</v>
      </c>
      <c r="F56" s="3" t="s">
        <v>61</v>
      </c>
      <c r="G56" s="3" t="s">
        <v>66</v>
      </c>
      <c r="H56" s="3" t="s">
        <v>67</v>
      </c>
      <c r="I56" s="3" t="s">
        <v>68</v>
      </c>
      <c r="J56" s="3" t="s">
        <v>205</v>
      </c>
      <c r="K56" s="3" t="s">
        <v>205</v>
      </c>
      <c r="L56" s="5">
        <v>41505</v>
      </c>
      <c r="M56" s="5">
        <v>41656</v>
      </c>
      <c r="N56" s="5">
        <v>43117</v>
      </c>
      <c r="O56" s="6"/>
      <c r="P56" s="7">
        <v>43117</v>
      </c>
      <c r="Q56" s="3" t="s">
        <v>20</v>
      </c>
      <c r="R56" s="20">
        <v>20.63</v>
      </c>
      <c r="S56" s="25">
        <v>1032.71</v>
      </c>
      <c r="T56" s="25">
        <v>875.25</v>
      </c>
      <c r="U56" s="25">
        <v>0</v>
      </c>
      <c r="V56" s="25">
        <v>157.46</v>
      </c>
      <c r="W56" s="30">
        <f t="shared" si="0"/>
        <v>0.15247262058080197</v>
      </c>
    </row>
    <row r="57" spans="1:23" ht="30" customHeight="1" x14ac:dyDescent="0.25">
      <c r="A57" s="3" t="s">
        <v>206</v>
      </c>
      <c r="B57" s="3" t="s">
        <v>207</v>
      </c>
      <c r="C57" s="3" t="s">
        <v>144</v>
      </c>
      <c r="D57" s="3" t="s">
        <v>36</v>
      </c>
      <c r="E57" s="3" t="s">
        <v>194</v>
      </c>
      <c r="F57" s="3" t="s">
        <v>61</v>
      </c>
      <c r="G57" s="3" t="s">
        <v>39</v>
      </c>
      <c r="H57" s="3" t="s">
        <v>208</v>
      </c>
      <c r="I57" s="3" t="s">
        <v>68</v>
      </c>
      <c r="J57" s="3" t="s">
        <v>209</v>
      </c>
      <c r="K57" s="3" t="s">
        <v>209</v>
      </c>
      <c r="L57" s="5">
        <v>41130</v>
      </c>
      <c r="M57" s="5">
        <v>41241</v>
      </c>
      <c r="N57" s="5">
        <v>43248</v>
      </c>
      <c r="O57" s="6"/>
      <c r="P57" s="7">
        <v>43248</v>
      </c>
      <c r="Q57" s="3" t="s">
        <v>20</v>
      </c>
      <c r="R57" s="20">
        <v>207.88</v>
      </c>
      <c r="S57" s="25">
        <v>11212.14</v>
      </c>
      <c r="T57" s="25">
        <v>8950.58</v>
      </c>
      <c r="U57" s="25">
        <v>0</v>
      </c>
      <c r="V57" s="25">
        <v>2261.56</v>
      </c>
      <c r="W57" s="30">
        <f t="shared" si="0"/>
        <v>0.20170636470825373</v>
      </c>
    </row>
    <row r="58" spans="1:23" ht="30" customHeight="1" x14ac:dyDescent="0.25">
      <c r="A58" s="3" t="s">
        <v>210</v>
      </c>
      <c r="B58" s="3" t="s">
        <v>211</v>
      </c>
      <c r="C58" s="3" t="s">
        <v>95</v>
      </c>
      <c r="D58" s="3" t="s">
        <v>36</v>
      </c>
      <c r="E58" s="3" t="s">
        <v>194</v>
      </c>
      <c r="F58" s="3" t="s">
        <v>61</v>
      </c>
      <c r="G58" s="3" t="s">
        <v>66</v>
      </c>
      <c r="H58" s="3" t="s">
        <v>110</v>
      </c>
      <c r="I58" s="3" t="s">
        <v>111</v>
      </c>
      <c r="J58" s="3" t="s">
        <v>112</v>
      </c>
      <c r="K58" s="8" t="s">
        <v>112</v>
      </c>
      <c r="L58" s="5">
        <v>41564</v>
      </c>
      <c r="M58" s="5">
        <v>41684</v>
      </c>
      <c r="N58" s="5">
        <v>43783</v>
      </c>
      <c r="O58" s="6"/>
      <c r="P58" s="7">
        <v>43783</v>
      </c>
      <c r="Q58" s="3" t="s">
        <v>20</v>
      </c>
      <c r="R58" s="20">
        <v>80.48</v>
      </c>
      <c r="S58" s="25">
        <v>4214.8599999999997</v>
      </c>
      <c r="T58" s="25">
        <v>3267.61</v>
      </c>
      <c r="U58" s="25">
        <v>0</v>
      </c>
      <c r="V58" s="25">
        <v>947.25</v>
      </c>
      <c r="W58" s="30">
        <f t="shared" si="0"/>
        <v>0.22474056077781945</v>
      </c>
    </row>
    <row r="59" spans="1:23" ht="15" customHeight="1" x14ac:dyDescent="0.25">
      <c r="A59" s="3" t="s">
        <v>212</v>
      </c>
      <c r="B59" s="3" t="s">
        <v>213</v>
      </c>
      <c r="C59" s="3" t="s">
        <v>95</v>
      </c>
      <c r="D59" s="3" t="s">
        <v>115</v>
      </c>
      <c r="E59" s="3" t="s">
        <v>194</v>
      </c>
      <c r="F59" s="3" t="s">
        <v>61</v>
      </c>
      <c r="G59" s="3" t="s">
        <v>66</v>
      </c>
      <c r="H59" s="3" t="s">
        <v>67</v>
      </c>
      <c r="I59" s="3" t="s">
        <v>68</v>
      </c>
      <c r="J59" s="3" t="s">
        <v>209</v>
      </c>
      <c r="K59" s="3" t="s">
        <v>209</v>
      </c>
      <c r="L59" s="5">
        <v>40007</v>
      </c>
      <c r="M59" s="5">
        <v>40106</v>
      </c>
      <c r="N59" s="5">
        <v>41445</v>
      </c>
      <c r="O59" s="5">
        <v>42093</v>
      </c>
      <c r="P59" s="7">
        <v>42093</v>
      </c>
      <c r="Q59" s="3" t="s">
        <v>20</v>
      </c>
      <c r="R59" s="20">
        <v>13.06</v>
      </c>
      <c r="S59" s="25">
        <v>972.06</v>
      </c>
      <c r="T59" s="25">
        <v>604.86</v>
      </c>
      <c r="U59" s="25">
        <v>0</v>
      </c>
      <c r="V59" s="25">
        <v>367.2</v>
      </c>
      <c r="W59" s="30">
        <f t="shared" si="0"/>
        <v>0.3777544596012592</v>
      </c>
    </row>
    <row r="60" spans="1:23" ht="15" customHeight="1" x14ac:dyDescent="0.25">
      <c r="A60" s="3" t="s">
        <v>220</v>
      </c>
      <c r="B60" s="3" t="s">
        <v>221</v>
      </c>
      <c r="C60" s="3" t="s">
        <v>95</v>
      </c>
      <c r="D60" s="3" t="s">
        <v>6</v>
      </c>
      <c r="E60" s="3" t="s">
        <v>6</v>
      </c>
      <c r="F60" s="3" t="s">
        <v>61</v>
      </c>
      <c r="G60" s="3" t="s">
        <v>66</v>
      </c>
      <c r="H60" s="3" t="s">
        <v>67</v>
      </c>
      <c r="I60" s="3" t="s">
        <v>11</v>
      </c>
      <c r="J60" s="3" t="s">
        <v>19</v>
      </c>
      <c r="K60" s="3" t="s">
        <v>19</v>
      </c>
      <c r="L60" s="5">
        <v>39745</v>
      </c>
      <c r="M60" s="5">
        <v>39919</v>
      </c>
      <c r="N60" s="5">
        <v>41274</v>
      </c>
      <c r="O60" s="5">
        <v>42735</v>
      </c>
      <c r="P60" s="7">
        <v>42735</v>
      </c>
      <c r="Q60" s="3" t="s">
        <v>20</v>
      </c>
      <c r="R60" s="20">
        <v>232</v>
      </c>
      <c r="S60" s="25">
        <v>28943.33</v>
      </c>
      <c r="T60" s="25">
        <v>10284.61</v>
      </c>
      <c r="U60" s="25">
        <v>167.74</v>
      </c>
      <c r="V60" s="25">
        <v>18490.982</v>
      </c>
      <c r="W60" s="30">
        <f t="shared" si="0"/>
        <v>0.63886850614632107</v>
      </c>
    </row>
    <row r="61" spans="1:23" ht="15" customHeight="1" x14ac:dyDescent="0.25">
      <c r="A61" s="3" t="s">
        <v>222</v>
      </c>
      <c r="B61" s="3" t="s">
        <v>223</v>
      </c>
      <c r="C61" s="3" t="s">
        <v>132</v>
      </c>
      <c r="D61" s="3" t="s">
        <v>6</v>
      </c>
      <c r="E61" s="3" t="s">
        <v>6</v>
      </c>
      <c r="F61" s="3" t="s">
        <v>61</v>
      </c>
      <c r="G61" s="3" t="s">
        <v>66</v>
      </c>
      <c r="H61" s="3" t="s">
        <v>110</v>
      </c>
      <c r="I61" s="3" t="s">
        <v>111</v>
      </c>
      <c r="J61" s="3" t="s">
        <v>141</v>
      </c>
      <c r="K61" s="3" t="s">
        <v>141</v>
      </c>
      <c r="L61" s="5">
        <v>41060</v>
      </c>
      <c r="M61" s="5">
        <v>41201</v>
      </c>
      <c r="N61" s="5">
        <v>42916</v>
      </c>
      <c r="O61" s="6"/>
      <c r="P61" s="7">
        <v>42916</v>
      </c>
      <c r="Q61" s="3" t="s">
        <v>20</v>
      </c>
      <c r="R61" s="20">
        <v>275</v>
      </c>
      <c r="S61" s="25">
        <v>17043.669999999998</v>
      </c>
      <c r="T61" s="25">
        <v>11968</v>
      </c>
      <c r="U61" s="25">
        <v>0</v>
      </c>
      <c r="V61" s="25">
        <v>5075.67</v>
      </c>
      <c r="W61" s="30">
        <f t="shared" ref="W61:W69" si="1">V61/S61</f>
        <v>0.29780381807439366</v>
      </c>
    </row>
    <row r="62" spans="1:23" ht="30" customHeight="1" x14ac:dyDescent="0.25">
      <c r="A62" s="3" t="s">
        <v>226</v>
      </c>
      <c r="B62" s="3" t="s">
        <v>227</v>
      </c>
      <c r="C62" s="3" t="s">
        <v>132</v>
      </c>
      <c r="D62" s="3" t="s">
        <v>6</v>
      </c>
      <c r="E62" s="3" t="s">
        <v>6</v>
      </c>
      <c r="F62" s="3" t="s">
        <v>61</v>
      </c>
      <c r="G62" s="3" t="s">
        <v>66</v>
      </c>
      <c r="H62" s="3" t="s">
        <v>176</v>
      </c>
      <c r="I62" s="3" t="s">
        <v>11</v>
      </c>
      <c r="J62" s="3" t="s">
        <v>19</v>
      </c>
      <c r="K62" s="3" t="s">
        <v>19</v>
      </c>
      <c r="L62" s="5">
        <v>38993</v>
      </c>
      <c r="M62" s="5">
        <v>39141</v>
      </c>
      <c r="N62" s="5">
        <v>41090</v>
      </c>
      <c r="O62" s="5">
        <v>42490</v>
      </c>
      <c r="P62" s="7">
        <v>42490</v>
      </c>
      <c r="Q62" s="3" t="s">
        <v>20</v>
      </c>
      <c r="R62" s="20">
        <v>122.261</v>
      </c>
      <c r="S62" s="25">
        <v>6003.86</v>
      </c>
      <c r="T62" s="25">
        <v>5128</v>
      </c>
      <c r="U62" s="25">
        <v>875.86</v>
      </c>
      <c r="V62" s="25">
        <v>0</v>
      </c>
      <c r="W62" s="30">
        <f t="shared" si="1"/>
        <v>0</v>
      </c>
    </row>
    <row r="63" spans="1:23" ht="30" customHeight="1" x14ac:dyDescent="0.25">
      <c r="A63" s="3" t="s">
        <v>228</v>
      </c>
      <c r="B63" s="3" t="s">
        <v>229</v>
      </c>
      <c r="C63" s="3" t="s">
        <v>38</v>
      </c>
      <c r="D63" s="3" t="s">
        <v>6</v>
      </c>
      <c r="E63" s="3" t="s">
        <v>6</v>
      </c>
      <c r="F63" s="3" t="s">
        <v>61</v>
      </c>
      <c r="G63" s="3" t="s">
        <v>39</v>
      </c>
      <c r="H63" s="3" t="s">
        <v>40</v>
      </c>
      <c r="I63" s="3" t="s">
        <v>189</v>
      </c>
      <c r="J63" s="3" t="s">
        <v>190</v>
      </c>
      <c r="K63" s="3" t="s">
        <v>230</v>
      </c>
      <c r="L63" s="5">
        <v>39205</v>
      </c>
      <c r="M63" s="5">
        <v>39266</v>
      </c>
      <c r="N63" s="5">
        <v>41274</v>
      </c>
      <c r="O63" s="5">
        <v>42004</v>
      </c>
      <c r="P63" s="7">
        <v>42004</v>
      </c>
      <c r="Q63" s="3" t="s">
        <v>27</v>
      </c>
      <c r="R63" s="20">
        <v>76.388999999999996</v>
      </c>
      <c r="S63" s="25">
        <v>5210</v>
      </c>
      <c r="T63" s="25">
        <v>4340</v>
      </c>
      <c r="U63" s="25">
        <v>440</v>
      </c>
      <c r="V63" s="25">
        <v>430</v>
      </c>
      <c r="W63" s="30">
        <f t="shared" si="1"/>
        <v>8.253358925143954E-2</v>
      </c>
    </row>
    <row r="64" spans="1:23" ht="30" customHeight="1" x14ac:dyDescent="0.25">
      <c r="A64" s="3" t="s">
        <v>231</v>
      </c>
      <c r="B64" s="3" t="s">
        <v>232</v>
      </c>
      <c r="C64" s="3" t="s">
        <v>144</v>
      </c>
      <c r="D64" s="3" t="s">
        <v>6</v>
      </c>
      <c r="E64" s="3" t="s">
        <v>6</v>
      </c>
      <c r="F64" s="3" t="s">
        <v>61</v>
      </c>
      <c r="G64" s="3" t="s">
        <v>39</v>
      </c>
      <c r="H64" s="3" t="s">
        <v>40</v>
      </c>
      <c r="I64" s="9" t="s">
        <v>41</v>
      </c>
      <c r="J64" s="9" t="s">
        <v>42</v>
      </c>
      <c r="K64" s="9" t="s">
        <v>249</v>
      </c>
      <c r="L64" s="5">
        <v>40032</v>
      </c>
      <c r="M64" s="5">
        <v>40120</v>
      </c>
      <c r="N64" s="5">
        <v>42094</v>
      </c>
      <c r="O64" s="6"/>
      <c r="P64" s="7">
        <v>42094</v>
      </c>
      <c r="Q64" s="3" t="s">
        <v>20</v>
      </c>
      <c r="R64" s="20">
        <v>70.36</v>
      </c>
      <c r="S64" s="25">
        <v>5111.4380000000001</v>
      </c>
      <c r="T64" s="25">
        <v>3166.0349999999999</v>
      </c>
      <c r="U64" s="25">
        <v>0</v>
      </c>
      <c r="V64" s="25">
        <v>1945.403</v>
      </c>
      <c r="W64" s="30">
        <f t="shared" si="1"/>
        <v>0.38059798436369568</v>
      </c>
    </row>
    <row r="65" spans="1:23" ht="30" customHeight="1" x14ac:dyDescent="0.25">
      <c r="A65" s="3" t="s">
        <v>233</v>
      </c>
      <c r="B65" s="3" t="s">
        <v>234</v>
      </c>
      <c r="C65" s="3" t="s">
        <v>235</v>
      </c>
      <c r="D65" s="3" t="s">
        <v>6</v>
      </c>
      <c r="E65" s="3" t="s">
        <v>6</v>
      </c>
      <c r="F65" s="3" t="s">
        <v>61</v>
      </c>
      <c r="G65" s="3" t="s">
        <v>17</v>
      </c>
      <c r="H65" s="3" t="s">
        <v>18</v>
      </c>
      <c r="I65" s="3" t="s">
        <v>189</v>
      </c>
      <c r="J65" s="3" t="s">
        <v>218</v>
      </c>
      <c r="K65" s="3" t="s">
        <v>218</v>
      </c>
      <c r="L65" s="5">
        <v>40323</v>
      </c>
      <c r="M65" s="5">
        <v>40487</v>
      </c>
      <c r="N65" s="5">
        <v>41425</v>
      </c>
      <c r="O65" s="5">
        <v>41790</v>
      </c>
      <c r="P65" s="7">
        <v>41790</v>
      </c>
      <c r="Q65" s="3" t="s">
        <v>27</v>
      </c>
      <c r="R65" s="20">
        <v>27.326000000000001</v>
      </c>
      <c r="S65" s="24">
        <v>1663</v>
      </c>
      <c r="T65" s="24">
        <v>1410</v>
      </c>
      <c r="U65" s="24">
        <v>0</v>
      </c>
      <c r="V65" s="24">
        <v>253</v>
      </c>
      <c r="W65" s="30">
        <f t="shared" si="1"/>
        <v>0.15213469633193025</v>
      </c>
    </row>
    <row r="66" spans="1:23" ht="30" customHeight="1" x14ac:dyDescent="0.25">
      <c r="A66" s="3" t="s">
        <v>236</v>
      </c>
      <c r="B66" s="3" t="s">
        <v>237</v>
      </c>
      <c r="C66" s="3" t="s">
        <v>16</v>
      </c>
      <c r="D66" s="3" t="s">
        <v>6</v>
      </c>
      <c r="E66" s="3" t="s">
        <v>6</v>
      </c>
      <c r="F66" s="3" t="s">
        <v>61</v>
      </c>
      <c r="G66" s="3" t="s">
        <v>17</v>
      </c>
      <c r="H66" s="3" t="s">
        <v>18</v>
      </c>
      <c r="I66" s="3" t="s">
        <v>41</v>
      </c>
      <c r="J66" s="3" t="s">
        <v>42</v>
      </c>
      <c r="K66" s="3" t="s">
        <v>238</v>
      </c>
      <c r="L66" s="5">
        <v>40515</v>
      </c>
      <c r="M66" s="5">
        <v>40598</v>
      </c>
      <c r="N66" s="5">
        <v>41790</v>
      </c>
      <c r="O66" s="6"/>
      <c r="P66" s="7">
        <v>41790</v>
      </c>
      <c r="Q66" s="3" t="s">
        <v>27</v>
      </c>
      <c r="R66" s="20">
        <v>55.829000000000001</v>
      </c>
      <c r="S66" s="25">
        <v>3477.08</v>
      </c>
      <c r="T66" s="25">
        <v>2800.17</v>
      </c>
      <c r="U66" s="25">
        <v>0</v>
      </c>
      <c r="V66" s="25">
        <v>676.91</v>
      </c>
      <c r="W66" s="30">
        <f t="shared" si="1"/>
        <v>0.19467771808528994</v>
      </c>
    </row>
    <row r="67" spans="1:23" ht="30" customHeight="1" x14ac:dyDescent="0.25">
      <c r="A67" s="3" t="s">
        <v>239</v>
      </c>
      <c r="B67" s="3" t="s">
        <v>240</v>
      </c>
      <c r="C67" s="3" t="s">
        <v>241</v>
      </c>
      <c r="D67" s="3" t="s">
        <v>6</v>
      </c>
      <c r="E67" s="3" t="s">
        <v>6</v>
      </c>
      <c r="F67" s="3" t="s">
        <v>61</v>
      </c>
      <c r="G67" s="3" t="s">
        <v>39</v>
      </c>
      <c r="H67" s="3" t="s">
        <v>81</v>
      </c>
      <c r="I67" s="3" t="s">
        <v>111</v>
      </c>
      <c r="J67" s="3" t="s">
        <v>242</v>
      </c>
      <c r="K67" s="3" t="s">
        <v>242</v>
      </c>
      <c r="L67" s="5">
        <v>40675</v>
      </c>
      <c r="M67" s="5">
        <v>40751</v>
      </c>
      <c r="N67" s="5">
        <v>41759</v>
      </c>
      <c r="O67" s="6"/>
      <c r="P67" s="7">
        <v>41759</v>
      </c>
      <c r="Q67" s="3" t="s">
        <v>27</v>
      </c>
      <c r="R67" s="20">
        <v>2.4900000000000002</v>
      </c>
      <c r="S67" s="24">
        <v>633.399</v>
      </c>
      <c r="T67" s="24">
        <v>520</v>
      </c>
      <c r="U67" s="24">
        <v>0</v>
      </c>
      <c r="V67" s="24">
        <v>113.399</v>
      </c>
      <c r="W67" s="30">
        <f t="shared" si="1"/>
        <v>0.1790324897892166</v>
      </c>
    </row>
    <row r="68" spans="1:23" ht="15" customHeight="1" x14ac:dyDescent="0.25">
      <c r="A68" s="3" t="s">
        <v>243</v>
      </c>
      <c r="B68" s="3" t="s">
        <v>244</v>
      </c>
      <c r="C68" s="3" t="s">
        <v>85</v>
      </c>
      <c r="D68" s="3" t="s">
        <v>6</v>
      </c>
      <c r="E68" s="3" t="s">
        <v>6</v>
      </c>
      <c r="F68" s="3" t="s">
        <v>61</v>
      </c>
      <c r="G68" s="3" t="s">
        <v>66</v>
      </c>
      <c r="H68" s="3" t="s">
        <v>117</v>
      </c>
      <c r="I68" s="3" t="s">
        <v>11</v>
      </c>
      <c r="J68" s="3" t="s">
        <v>19</v>
      </c>
      <c r="K68" s="3" t="s">
        <v>19</v>
      </c>
      <c r="L68" s="5">
        <v>40941</v>
      </c>
      <c r="M68" s="5">
        <v>41193</v>
      </c>
      <c r="N68" s="5">
        <v>42704</v>
      </c>
      <c r="O68" s="6"/>
      <c r="P68" s="7">
        <v>42704</v>
      </c>
      <c r="Q68" s="3" t="s">
        <v>20</v>
      </c>
      <c r="R68" s="20">
        <v>50</v>
      </c>
      <c r="S68" s="25">
        <v>16438.34</v>
      </c>
      <c r="T68" s="25">
        <v>1640</v>
      </c>
      <c r="U68" s="25">
        <v>0</v>
      </c>
      <c r="V68" s="25">
        <v>14798.34</v>
      </c>
      <c r="W68" s="30">
        <f t="shared" si="1"/>
        <v>0.90023323522934795</v>
      </c>
    </row>
    <row r="69" spans="1:23" ht="30" customHeight="1" x14ac:dyDescent="0.25">
      <c r="A69" s="3" t="s">
        <v>245</v>
      </c>
      <c r="B69" s="3" t="s">
        <v>246</v>
      </c>
      <c r="C69" s="3" t="s">
        <v>80</v>
      </c>
      <c r="D69" s="3" t="s">
        <v>6</v>
      </c>
      <c r="E69" s="3" t="s">
        <v>6</v>
      </c>
      <c r="F69" s="3" t="s">
        <v>61</v>
      </c>
      <c r="G69" s="3" t="s">
        <v>39</v>
      </c>
      <c r="H69" s="3" t="s">
        <v>81</v>
      </c>
      <c r="I69" s="3" t="s">
        <v>41</v>
      </c>
      <c r="J69" s="3" t="s">
        <v>42</v>
      </c>
      <c r="K69" s="3" t="s">
        <v>247</v>
      </c>
      <c r="L69" s="5">
        <v>38533</v>
      </c>
      <c r="M69" s="5">
        <v>38636</v>
      </c>
      <c r="N69" s="5">
        <v>40633</v>
      </c>
      <c r="O69" s="5">
        <v>41729</v>
      </c>
      <c r="P69" s="7">
        <v>41729</v>
      </c>
      <c r="Q69" s="3" t="s">
        <v>27</v>
      </c>
      <c r="R69" s="20">
        <v>15.361000000000001</v>
      </c>
      <c r="S69" s="24">
        <v>2232.5500000000002</v>
      </c>
      <c r="T69" s="24">
        <v>1044.74</v>
      </c>
      <c r="U69" s="24">
        <v>1062.1420000000001</v>
      </c>
      <c r="V69" s="24">
        <v>125.667</v>
      </c>
      <c r="W69" s="30">
        <f t="shared" si="1"/>
        <v>5.6288548968668112E-2</v>
      </c>
    </row>
    <row r="72" spans="1:23" x14ac:dyDescent="0.25">
      <c r="S72" s="19">
        <f>SUM(S2:S69)</f>
        <v>658381.40883233328</v>
      </c>
      <c r="T72" s="19">
        <f>SUM(T2:T69)</f>
        <v>505175.24047233327</v>
      </c>
      <c r="U72" s="19">
        <f>SUM(U2:U69)</f>
        <v>4768.3290000000006</v>
      </c>
      <c r="V72" s="19">
        <f>SUM(V2:V69)</f>
        <v>148437.78200000001</v>
      </c>
    </row>
    <row r="73" spans="1:23" x14ac:dyDescent="0.25">
      <c r="S73" s="19">
        <f>SUM(T72,V72)</f>
        <v>653613.02247233328</v>
      </c>
      <c r="V73" s="19">
        <f>V72/S73*100</f>
        <v>22.710346473594505</v>
      </c>
    </row>
  </sheetData>
  <autoFilter ref="C1:C7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sqref="A1:A1048576"/>
    </sheetView>
  </sheetViews>
  <sheetFormatPr defaultRowHeight="15" x14ac:dyDescent="0.25"/>
  <sheetData>
    <row r="1" spans="1:1" x14ac:dyDescent="0.25">
      <c r="A1" s="14" t="s">
        <v>1</v>
      </c>
    </row>
    <row r="2" spans="1:1" x14ac:dyDescent="0.25">
      <c r="A2" s="32" t="s">
        <v>8</v>
      </c>
    </row>
    <row r="3" spans="1:1" x14ac:dyDescent="0.25">
      <c r="A3" s="33" t="s">
        <v>16</v>
      </c>
    </row>
    <row r="4" spans="1:1" x14ac:dyDescent="0.25">
      <c r="A4" s="33" t="s">
        <v>38</v>
      </c>
    </row>
    <row r="5" spans="1:1" x14ac:dyDescent="0.25">
      <c r="A5" s="33" t="s">
        <v>52</v>
      </c>
    </row>
    <row r="6" spans="1:1" x14ac:dyDescent="0.25">
      <c r="A6" s="33" t="s">
        <v>65</v>
      </c>
    </row>
    <row r="7" spans="1:1" x14ac:dyDescent="0.25">
      <c r="A7" s="33" t="s">
        <v>72</v>
      </c>
    </row>
    <row r="8" spans="1:1" x14ac:dyDescent="0.25">
      <c r="A8" s="33" t="s">
        <v>76</v>
      </c>
    </row>
    <row r="9" spans="1:1" x14ac:dyDescent="0.25">
      <c r="A9" s="33" t="s">
        <v>80</v>
      </c>
    </row>
    <row r="10" spans="1:1" x14ac:dyDescent="0.25">
      <c r="A10" s="33" t="s">
        <v>85</v>
      </c>
    </row>
    <row r="11" spans="1:1" x14ac:dyDescent="0.25">
      <c r="A11" s="33" t="s">
        <v>95</v>
      </c>
    </row>
    <row r="12" spans="1:1" x14ac:dyDescent="0.25">
      <c r="A12" s="33" t="s">
        <v>104</v>
      </c>
    </row>
    <row r="13" spans="1:1" x14ac:dyDescent="0.25">
      <c r="A13" s="33" t="s">
        <v>109</v>
      </c>
    </row>
    <row r="14" spans="1:1" x14ac:dyDescent="0.25">
      <c r="A14" s="33" t="s">
        <v>121</v>
      </c>
    </row>
    <row r="15" spans="1:1" x14ac:dyDescent="0.25">
      <c r="A15" s="33" t="s">
        <v>128</v>
      </c>
    </row>
    <row r="16" spans="1:1" x14ac:dyDescent="0.25">
      <c r="A16" s="33" t="s">
        <v>132</v>
      </c>
    </row>
    <row r="17" spans="1:1" x14ac:dyDescent="0.25">
      <c r="A17" s="33" t="s">
        <v>144</v>
      </c>
    </row>
    <row r="18" spans="1:1" x14ac:dyDescent="0.25">
      <c r="A18" s="33" t="s">
        <v>181</v>
      </c>
    </row>
    <row r="19" spans="1:1" x14ac:dyDescent="0.25">
      <c r="A19" s="33" t="s">
        <v>235</v>
      </c>
    </row>
    <row r="20" spans="1:1" x14ac:dyDescent="0.25">
      <c r="A20" s="33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LoanProjectFinInfo2 (ok)</vt:lpstr>
      <vt:lpstr>Sheet3</vt:lpstr>
      <vt:lpstr>Sheet3 (2)</vt:lpstr>
      <vt:lpstr>Sheet3 (3)</vt:lpstr>
      <vt:lpstr>Sheet4</vt:lpstr>
      <vt:lpstr>LoanProjectFinInfo2</vt:lpstr>
      <vt:lpstr>Sheet1</vt:lpstr>
      <vt:lpstr>LoanProjectFinInfo2 (2)</vt:lpstr>
      <vt:lpstr>Sheet2</vt:lpstr>
      <vt:lpstr>Sheet2!Extract</vt:lpstr>
      <vt:lpstr>Sheet3!Print_Titles</vt:lpstr>
      <vt:lpstr>'Sheet3 (2)'!Print_Titles</vt:lpstr>
      <vt:lpstr>'Sheet3 (3)'!Print_Titles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Mark Justine B. Gatdula</cp:lastModifiedBy>
  <cp:lastPrinted>2015-06-29T14:28:52Z</cp:lastPrinted>
  <dcterms:created xsi:type="dcterms:W3CDTF">2015-06-09T00:08:07Z</dcterms:created>
  <dcterms:modified xsi:type="dcterms:W3CDTF">2015-06-29T15:07:57Z</dcterms:modified>
</cp:coreProperties>
</file>