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Final Annexes\"/>
    </mc:Choice>
  </mc:AlternateContent>
  <bookViews>
    <workbookView xWindow="0" yWindow="0" windowWidth="28800" windowHeight="13875"/>
  </bookViews>
  <sheets>
    <sheet name="3-A" sheetId="4" r:id="rId1"/>
    <sheet name="3-B " sheetId="5" r:id="rId2"/>
    <sheet name="3-C" sheetId="1" r:id="rId3"/>
    <sheet name="3-D" sheetId="2" r:id="rId4"/>
    <sheet name="3-E" sheetId="3" r:id="rId5"/>
  </sheets>
  <externalReferences>
    <externalReference r:id="rId6"/>
    <externalReference r:id="rId7"/>
    <externalReference r:id="rId8"/>
  </externalReferences>
  <definedNames>
    <definedName name="_xlnm._FilterDatabase" localSheetId="3" hidden="1">'3-D'!$B$8:$H$60</definedName>
    <definedName name="k" localSheetId="1">#REF!</definedName>
    <definedName name="k">#REF!</definedName>
    <definedName name="L" localSheetId="1">#REF!</definedName>
    <definedName name="L">#REF!</definedName>
    <definedName name="LoanProjectFinInfo2">'[1]3-A'!$B$6:$M$141</definedName>
    <definedName name="_xlnm.Print_Area" localSheetId="0">'3-A'!$A$1:$Q$20</definedName>
    <definedName name="_xlnm.Print_Area" localSheetId="3">'3-D'!$B$1:$H$62</definedName>
    <definedName name="_xlnm.Print_Titles" localSheetId="1">'3-B '!$6:$6</definedName>
    <definedName name="_xlnm.Print_Titles" localSheetId="3">'3-D'!$B:$R,'3-D'!$7:$8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4" i="5" l="1"/>
  <c r="K14" i="5"/>
  <c r="J14" i="5"/>
  <c r="I14" i="5"/>
  <c r="H14" i="5"/>
  <c r="G14" i="5"/>
  <c r="F14" i="5"/>
  <c r="E14" i="5"/>
  <c r="D14" i="5"/>
  <c r="B14" i="5"/>
  <c r="L13" i="5"/>
  <c r="K13" i="5"/>
  <c r="J13" i="5"/>
  <c r="I13" i="5"/>
  <c r="H13" i="5"/>
  <c r="G13" i="5"/>
  <c r="F13" i="5"/>
  <c r="E13" i="5"/>
  <c r="D13" i="5"/>
  <c r="B13" i="5"/>
  <c r="L12" i="5"/>
  <c r="K12" i="5"/>
  <c r="J12" i="5"/>
  <c r="I12" i="5"/>
  <c r="H12" i="5"/>
  <c r="G12" i="5"/>
  <c r="F12" i="5"/>
  <c r="E12" i="5"/>
  <c r="D12" i="5"/>
  <c r="B12" i="5"/>
  <c r="L11" i="5"/>
  <c r="K11" i="5"/>
  <c r="J11" i="5"/>
  <c r="I11" i="5"/>
  <c r="H11" i="5"/>
  <c r="G11" i="5"/>
  <c r="F11" i="5"/>
  <c r="E11" i="5"/>
  <c r="D11" i="5"/>
  <c r="B11" i="5"/>
  <c r="L10" i="5"/>
  <c r="K10" i="5"/>
  <c r="J10" i="5"/>
  <c r="I10" i="5"/>
  <c r="H10" i="5"/>
  <c r="G10" i="5"/>
  <c r="F10" i="5"/>
  <c r="E10" i="5"/>
  <c r="D10" i="5"/>
  <c r="B10" i="5"/>
  <c r="L9" i="5"/>
  <c r="K9" i="5"/>
  <c r="J9" i="5"/>
  <c r="I9" i="5"/>
  <c r="H9" i="5"/>
  <c r="G9" i="5"/>
  <c r="F9" i="5"/>
  <c r="E9" i="5"/>
  <c r="D9" i="5"/>
  <c r="B9" i="5"/>
  <c r="L8" i="5"/>
  <c r="K8" i="5"/>
  <c r="J8" i="5"/>
  <c r="I8" i="5"/>
  <c r="H8" i="5"/>
  <c r="G8" i="5"/>
  <c r="F8" i="5"/>
  <c r="E8" i="5"/>
  <c r="D8" i="5"/>
  <c r="B8" i="5"/>
  <c r="L10" i="1" l="1"/>
  <c r="H35" i="2"/>
  <c r="J23" i="2" l="1"/>
  <c r="C23" i="2"/>
  <c r="G22" i="2"/>
  <c r="G23" i="2" s="1"/>
  <c r="J47" i="2"/>
  <c r="D47" i="2"/>
  <c r="G46" i="2"/>
  <c r="H46" i="2" s="1"/>
  <c r="G45" i="2"/>
  <c r="G44" i="2"/>
  <c r="H44" i="2" s="1"/>
  <c r="G24" i="3"/>
  <c r="G25" i="3"/>
  <c r="G26" i="3"/>
  <c r="G27" i="3"/>
  <c r="G28" i="3"/>
  <c r="G29" i="3"/>
  <c r="G30" i="3"/>
  <c r="G31" i="3"/>
  <c r="G32" i="3"/>
  <c r="F32" i="3"/>
  <c r="G47" i="2" l="1"/>
  <c r="H22" i="2"/>
  <c r="H45" i="2"/>
  <c r="J60" i="2"/>
  <c r="J62" i="2" s="1"/>
  <c r="J31" i="2"/>
  <c r="G21" i="3" l="1"/>
  <c r="G20" i="3"/>
  <c r="G60" i="2"/>
  <c r="C60" i="2"/>
  <c r="F56" i="2"/>
  <c r="D56" i="2"/>
  <c r="F55" i="2"/>
  <c r="E55" i="2"/>
  <c r="D55" i="2"/>
  <c r="E54" i="2"/>
  <c r="D54" i="2"/>
  <c r="F53" i="2"/>
  <c r="E53" i="2"/>
  <c r="D53" i="2"/>
  <c r="E52" i="2"/>
  <c r="D52" i="2"/>
  <c r="E51" i="2"/>
  <c r="H51" i="2" s="1"/>
  <c r="F50" i="2"/>
  <c r="E50" i="2"/>
  <c r="D50" i="2"/>
  <c r="E49" i="2"/>
  <c r="D49" i="2"/>
  <c r="H42" i="2"/>
  <c r="F41" i="2"/>
  <c r="H41" i="2" s="1"/>
  <c r="F40" i="2"/>
  <c r="H40" i="2" s="1"/>
  <c r="F39" i="2"/>
  <c r="H39" i="2" s="1"/>
  <c r="F38" i="2"/>
  <c r="H38" i="2" s="1"/>
  <c r="F37" i="2"/>
  <c r="H37" i="2" s="1"/>
  <c r="F36" i="2"/>
  <c r="H36" i="2" s="1"/>
  <c r="F35" i="2"/>
  <c r="F34" i="2"/>
  <c r="E34" i="2"/>
  <c r="F33" i="2"/>
  <c r="E33" i="2"/>
  <c r="G31" i="2"/>
  <c r="C31" i="2"/>
  <c r="F30" i="2"/>
  <c r="E30" i="2"/>
  <c r="D30" i="2"/>
  <c r="E29" i="2"/>
  <c r="D29" i="2"/>
  <c r="F28" i="2"/>
  <c r="E28" i="2"/>
  <c r="D28" i="2"/>
  <c r="E27" i="2"/>
  <c r="D27" i="2"/>
  <c r="E26" i="2"/>
  <c r="D26" i="2"/>
  <c r="E25" i="2"/>
  <c r="D25" i="2"/>
  <c r="H25" i="2" s="1"/>
  <c r="H16" i="2"/>
  <c r="F15" i="2"/>
  <c r="H15" i="2" s="1"/>
  <c r="F14" i="2"/>
  <c r="E14" i="2"/>
  <c r="D13" i="2"/>
  <c r="H13" i="2" s="1"/>
  <c r="F12" i="2"/>
  <c r="D12" i="2"/>
  <c r="F11" i="2"/>
  <c r="D11" i="2"/>
  <c r="H11" i="2" s="1"/>
  <c r="E10" i="2"/>
  <c r="D10" i="2"/>
  <c r="H50" i="2" l="1"/>
  <c r="H53" i="2"/>
  <c r="E23" i="2"/>
  <c r="H30" i="2"/>
  <c r="F47" i="2"/>
  <c r="H10" i="2"/>
  <c r="H12" i="2"/>
  <c r="H52" i="2"/>
  <c r="H55" i="2"/>
  <c r="H54" i="2"/>
  <c r="H14" i="2"/>
  <c r="H28" i="2"/>
  <c r="H31" i="2" s="1"/>
  <c r="D31" i="2"/>
  <c r="H27" i="2"/>
  <c r="F31" i="2"/>
  <c r="E47" i="2"/>
  <c r="D60" i="2"/>
  <c r="F60" i="2"/>
  <c r="D23" i="2"/>
  <c r="F23" i="2"/>
  <c r="F62" i="2" s="1"/>
  <c r="H26" i="2"/>
  <c r="H29" i="2"/>
  <c r="H34" i="2"/>
  <c r="H56" i="2"/>
  <c r="C62" i="2"/>
  <c r="G14" i="3"/>
  <c r="G16" i="3"/>
  <c r="G62" i="2"/>
  <c r="G12" i="3"/>
  <c r="G17" i="3"/>
  <c r="G22" i="3"/>
  <c r="G13" i="3"/>
  <c r="G18" i="3"/>
  <c r="G11" i="3"/>
  <c r="G15" i="3"/>
  <c r="G19" i="3"/>
  <c r="G23" i="3"/>
  <c r="E31" i="2"/>
  <c r="E60" i="2"/>
  <c r="H49" i="2"/>
  <c r="D62" i="2"/>
  <c r="H33" i="2"/>
  <c r="H23" i="2" l="1"/>
  <c r="H60" i="2"/>
  <c r="H47" i="2"/>
  <c r="E62" i="2"/>
  <c r="H62" i="2" l="1"/>
</calcChain>
</file>

<file path=xl/sharedStrings.xml><?xml version="1.0" encoding="utf-8"?>
<sst xmlns="http://schemas.openxmlformats.org/spreadsheetml/2006/main" count="266" uniqueCount="160">
  <si>
    <t xml:space="preserve">Historical Data on the Commitment Fees Paid </t>
  </si>
  <si>
    <t>CY 2004 to CY 2014</t>
  </si>
  <si>
    <t>Percentage of CFs Paid to Project Loans Net Commitment</t>
  </si>
  <si>
    <t xml:space="preserve">(%) </t>
  </si>
  <si>
    <t xml:space="preserve">Cumulative CFs Paid per Project </t>
  </si>
  <si>
    <t>CY 2002 to CY 2014</t>
  </si>
  <si>
    <t>(Figures in PhP)</t>
  </si>
  <si>
    <t>Project Title/IA/FI</t>
  </si>
  <si>
    <t xml:space="preserve"> 2010 &amp; below</t>
  </si>
  <si>
    <t>CY 2011</t>
  </si>
  <si>
    <t>CY 2012</t>
  </si>
  <si>
    <t>CY 2013</t>
  </si>
  <si>
    <t>CY 2014</t>
  </si>
  <si>
    <t>Total</t>
  </si>
  <si>
    <t>CY 2014 USD</t>
  </si>
  <si>
    <t>ADB</t>
  </si>
  <si>
    <t>DOH&amp;DOF/ADB</t>
  </si>
  <si>
    <t>Health Sector Development Project/DOH and DOF/ADB</t>
  </si>
  <si>
    <t>DENR/ADB</t>
  </si>
  <si>
    <t>Integrated Coastal Resource Management Project/DENR/ADB</t>
  </si>
  <si>
    <t>DAR/ADB</t>
  </si>
  <si>
    <t>Agrarian Reform Communities Project II/DAR/ADB</t>
  </si>
  <si>
    <t>DOE/ADB</t>
  </si>
  <si>
    <t>Philippine Energy Efficiency Project/DOE/ADB</t>
  </si>
  <si>
    <t>DSWD</t>
  </si>
  <si>
    <t>Social Protection Support/DSWD/ADB</t>
  </si>
  <si>
    <t>DPWH/ADB</t>
  </si>
  <si>
    <t>Road Improvement and Institutional Development Project/DPWH/ADB</t>
  </si>
  <si>
    <t>DOF/ADB</t>
  </si>
  <si>
    <t>Increasing Computer Television Program I/DOF/ADB</t>
  </si>
  <si>
    <t>Emergency Assistance for Relief and Recovery from Typhoon Yolanda</t>
  </si>
  <si>
    <t>KALAHI-CIDSS National Community Driven Development Program</t>
  </si>
  <si>
    <t>Local Government Finance and Fiscal Decentralization Reform Program Subprogram 1</t>
  </si>
  <si>
    <t>Integrated Natural Resources and Environmental Management Project</t>
  </si>
  <si>
    <t>Market Transformation Thru Introduction of Energy Efficient Electric Vehicles Project</t>
  </si>
  <si>
    <t>Subtotal</t>
  </si>
  <si>
    <t>WB</t>
  </si>
  <si>
    <t>DOJ/WB</t>
  </si>
  <si>
    <t>Judicial Reform/DOJ/WB</t>
  </si>
  <si>
    <t>DOH/WB</t>
  </si>
  <si>
    <t>Second Women's Health and Safe Motherhood Project/DOH/WB</t>
  </si>
  <si>
    <t>DepEd/WB</t>
  </si>
  <si>
    <t>National Support for Basic Education/DepEd/WB</t>
  </si>
  <si>
    <t>BIR/WB</t>
  </si>
  <si>
    <t>National Program Support for Tax Administration/BIR/WB</t>
  </si>
  <si>
    <t>DA/WB</t>
  </si>
  <si>
    <t>Mindanao Rural Development Project-Phase 2/DA/WB</t>
  </si>
  <si>
    <t>DENR/WB</t>
  </si>
  <si>
    <t>National Program Support for Environment and Natural Resources Management Project/DENR/ WB</t>
  </si>
  <si>
    <t>JICA</t>
  </si>
  <si>
    <t>DPWH</t>
  </si>
  <si>
    <t>Post Ondoy and Pepeng Short-term Infrastructure Rehabilitation Project/DPWH/JICA</t>
  </si>
  <si>
    <t>Road Upgrading and Preservation Project/DPWH/JICA</t>
  </si>
  <si>
    <t>DENR</t>
  </si>
  <si>
    <t>Forest Land Management Project/DENR/JICA</t>
  </si>
  <si>
    <t>Central Luzon Link Expressway/DPWH/JICA</t>
  </si>
  <si>
    <t>Arterial Road Bypass Project Phase 2/DPWH/JICA</t>
  </si>
  <si>
    <t>DAR, DPWH&amp; NIA</t>
  </si>
  <si>
    <t>Mindanao Sustainable Agrarian and Agriculture Development Project/DAR, DPWH, and NIA/ JICA</t>
  </si>
  <si>
    <t>Pasig-Marikina River Channel Improvement Project Phase III/DPWH/JICA</t>
  </si>
  <si>
    <t>Flood Risk Management Project along Selected Principal Rivers 2/DPWH/JICA</t>
  </si>
  <si>
    <t>NIA&amp;PHILRICE</t>
  </si>
  <si>
    <t>National Irrigation Sector Rehabilitation and Improvement Project/NIA and PHILRICE/JICA</t>
  </si>
  <si>
    <t>DOTC</t>
  </si>
  <si>
    <t>New Bohol Airport Construction and Sustainable Environment Protection Project/DOTC/JICA</t>
  </si>
  <si>
    <t>Capacity Enhancement of Mass Transit Systems in Metro Manila</t>
  </si>
  <si>
    <t>Others</t>
  </si>
  <si>
    <t>DA&amp;NIA</t>
  </si>
  <si>
    <t>Agno River Integrated Irrigation Project/DA and NIA/China</t>
  </si>
  <si>
    <t>DAR</t>
  </si>
  <si>
    <t>Tulay ng Pangulo Para sa Kaunlarang Pang-agraryo Project/DAR/France</t>
  </si>
  <si>
    <t>DILG</t>
  </si>
  <si>
    <t>Mindanao Basic Improvement/DILG/Austria</t>
  </si>
  <si>
    <t>Greater Maritime Access (GMA) Ports/DOTC/France</t>
  </si>
  <si>
    <t>Mega Bridges for Urban and Rural Development/DPWH/France</t>
  </si>
  <si>
    <t>Bridge Construction/Replacement Project/DPWH/Spain</t>
  </si>
  <si>
    <t>TESDA</t>
  </si>
  <si>
    <t>Expansion of Dual Education and Training Project/TESDA/KFW</t>
  </si>
  <si>
    <t>Land Administration &amp; Management Project Phase II</t>
  </si>
  <si>
    <t>DOH</t>
  </si>
  <si>
    <t>Health Sector Reform Agenda</t>
  </si>
  <si>
    <t>Com. Based Forest Mangrove</t>
  </si>
  <si>
    <t>Grand Total</t>
  </si>
  <si>
    <t>Commitment Fees Paid by Implementing Agency</t>
  </si>
  <si>
    <t>Implementing Agency</t>
  </si>
  <si>
    <t>Amount</t>
  </si>
  <si>
    <t>% Share</t>
  </si>
  <si>
    <t>(%) Share</t>
  </si>
  <si>
    <t>ASFPD-FMO</t>
  </si>
  <si>
    <t>-</t>
  </si>
  <si>
    <t>BIR</t>
  </si>
  <si>
    <t>DA</t>
  </si>
  <si>
    <t>DBP</t>
  </si>
  <si>
    <t>DepEd</t>
  </si>
  <si>
    <t>DOE</t>
  </si>
  <si>
    <t>DOF</t>
  </si>
  <si>
    <t>IBRD</t>
  </si>
  <si>
    <t>LBP</t>
  </si>
  <si>
    <t>LLDA</t>
  </si>
  <si>
    <t>NIA</t>
  </si>
  <si>
    <t>NorthRail</t>
  </si>
  <si>
    <t>PRRC</t>
  </si>
  <si>
    <t>SC</t>
  </si>
  <si>
    <t>TOTAL</t>
  </si>
  <si>
    <t>Environmental Development Project</t>
  </si>
  <si>
    <t>Logistics Infrastructure Development Project</t>
  </si>
  <si>
    <t>Agriculture Credit Support Project</t>
  </si>
  <si>
    <t>DBP/ADB</t>
  </si>
  <si>
    <t>Credit for Better Health Care/DBP/ADB</t>
  </si>
  <si>
    <t>CY 2014 ODA Portfolio Review</t>
  </si>
  <si>
    <t>CY 2014 ODA PORTFOLIO REVIEW</t>
  </si>
  <si>
    <t>NOT ACTIVE</t>
  </si>
  <si>
    <t>NOT IN RADAR</t>
  </si>
  <si>
    <t>(CY 2012 to CY 2014)</t>
  </si>
  <si>
    <t>(Figures in US$M)</t>
  </si>
  <si>
    <t>Net Commitment (Project Loans Only)</t>
  </si>
  <si>
    <t xml:space="preserve">Commitment Fees Paid </t>
  </si>
  <si>
    <t>Annex 3-C</t>
  </si>
  <si>
    <t>Annex 3-D</t>
  </si>
  <si>
    <t>Annex 3-E</t>
  </si>
  <si>
    <t>Annex 3-A</t>
  </si>
  <si>
    <t xml:space="preserve">ODA Loans Financial Performance </t>
  </si>
  <si>
    <t>(CY 2013 vs. CY 2014)</t>
  </si>
  <si>
    <t>Financial Indicators</t>
  </si>
  <si>
    <t>Newly Signed</t>
  </si>
  <si>
    <t>Continuing</t>
  </si>
  <si>
    <t>Grand Total of the Portfolio</t>
  </si>
  <si>
    <t>Effective</t>
  </si>
  <si>
    <t>Fully availed but not yet closed</t>
  </si>
  <si>
    <t>Closed during the Year</t>
  </si>
  <si>
    <t>Ongoing</t>
  </si>
  <si>
    <t>Closed</t>
  </si>
  <si>
    <t xml:space="preserve">Disbursement Level (US$ B) </t>
  </si>
  <si>
    <t>Program</t>
  </si>
  <si>
    <t>Project</t>
  </si>
  <si>
    <t>Disbursement Rate (%)</t>
  </si>
  <si>
    <t>Availment Rate (%)</t>
  </si>
  <si>
    <t>Disbursement Ratio (%)</t>
  </si>
  <si>
    <t>Annex 3-B</t>
  </si>
  <si>
    <t>Status of Ongoing NG Program Loans as of December 2014</t>
  </si>
  <si>
    <t>Loan/Project Name</t>
  </si>
  <si>
    <t>Lender Type</t>
  </si>
  <si>
    <t>Lender</t>
  </si>
  <si>
    <t xml:space="preserve">Estimated Loan Amount </t>
  </si>
  <si>
    <t>Loan Agreement Signing Date</t>
  </si>
  <si>
    <t>Loan Effectivity Date</t>
  </si>
  <si>
    <t>Loan Closing Date</t>
  </si>
  <si>
    <t xml:space="preserve">Total Disbursed </t>
  </si>
  <si>
    <t>Status</t>
  </si>
  <si>
    <t>Original</t>
  </si>
  <si>
    <t>Revised</t>
  </si>
  <si>
    <t>2662-PHI</t>
  </si>
  <si>
    <t>Multilateral</t>
  </si>
  <si>
    <t>3080-PHI</t>
  </si>
  <si>
    <t>PH-SB1</t>
  </si>
  <si>
    <t>Bilateral</t>
  </si>
  <si>
    <t>PH-7805</t>
  </si>
  <si>
    <t>PH-8218</t>
  </si>
  <si>
    <t>8344-PH</t>
  </si>
  <si>
    <t>8328-PH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</si>
</sst>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_(\P* #,##0.00_);_(\P* \(#,##0.00\);_(\P* &quot;-&quot;??_);_(@_)"/>
    <numFmt numFmtId="166" formatCode="#,##0.000"/>
    <numFmt numFmtId="167" formatCode="_(* #,##0.000_);_(* \(#,##0.000\);_(* &quot;-&quot;??_);_(@_)"/>
    <numFmt numFmtId="168" formatCode="0.000"/>
    <numFmt numFmtId="169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2"/>
      <name val="Arial Narrow"/>
      <family val="2"/>
    </font>
    <font>
      <b/>
      <sz val="10"/>
      <color rgb="FF000000"/>
      <name val="Century Gothic"/>
      <family val="2"/>
    </font>
    <font>
      <sz val="10"/>
      <color rgb="FF000000"/>
      <name val="Century Gothic"/>
      <family val="2"/>
    </font>
    <font>
      <sz val="10"/>
      <name val="Arial"/>
      <family val="2"/>
    </font>
    <font>
      <b/>
      <sz val="9"/>
      <color rgb="FF000000"/>
      <name val="Century Gothic"/>
      <family val="2"/>
    </font>
    <font>
      <sz val="9"/>
      <color rgb="FF000000"/>
      <name val="Century Gothic"/>
      <family val="2"/>
    </font>
    <font>
      <sz val="9"/>
      <color theme="1"/>
      <name val="Century Gothic"/>
      <family val="2"/>
    </font>
    <font>
      <sz val="10"/>
      <color rgb="FFFF0000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3CDDD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</cellStyleXfs>
  <cellXfs count="17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Border="1"/>
    <xf numFmtId="0" fontId="3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3" borderId="0" xfId="0" applyFont="1" applyFill="1"/>
    <xf numFmtId="0" fontId="5" fillId="0" borderId="0" xfId="0" applyFont="1" applyAlignment="1">
      <alignment horizontal="center"/>
    </xf>
    <xf numFmtId="4" fontId="4" fillId="3" borderId="0" xfId="1" applyNumberFormat="1" applyFont="1" applyFill="1" applyAlignment="1"/>
    <xf numFmtId="164" fontId="4" fillId="0" borderId="0" xfId="1" applyNumberFormat="1" applyFont="1" applyAlignment="1"/>
    <xf numFmtId="0" fontId="4" fillId="0" borderId="0" xfId="0" applyFont="1" applyAlignment="1"/>
    <xf numFmtId="164" fontId="4" fillId="0" borderId="0" xfId="1" applyNumberFormat="1" applyFont="1"/>
    <xf numFmtId="0" fontId="4" fillId="0" borderId="0" xfId="0" applyFont="1"/>
    <xf numFmtId="0" fontId="5" fillId="0" borderId="0" xfId="0" applyFont="1" applyAlignment="1"/>
    <xf numFmtId="4" fontId="4" fillId="3" borderId="0" xfId="0" applyNumberFormat="1" applyFont="1" applyFill="1" applyAlignment="1">
      <alignment horizontal="center"/>
    </xf>
    <xf numFmtId="0" fontId="5" fillId="3" borderId="0" xfId="0" applyFont="1" applyFill="1"/>
    <xf numFmtId="164" fontId="5" fillId="0" borderId="0" xfId="1" applyNumberFormat="1" applyFont="1" applyAlignment="1">
      <alignment horizontal="center"/>
    </xf>
    <xf numFmtId="4" fontId="5" fillId="3" borderId="0" xfId="1" applyNumberFormat="1" applyFont="1" applyFill="1" applyAlignment="1">
      <alignment horizontal="center"/>
    </xf>
    <xf numFmtId="164" fontId="5" fillId="0" borderId="0" xfId="1" applyNumberFormat="1" applyFont="1"/>
    <xf numFmtId="0" fontId="5" fillId="0" borderId="0" xfId="0" applyFont="1"/>
    <xf numFmtId="0" fontId="5" fillId="3" borderId="1" xfId="0" applyFont="1" applyFill="1" applyBorder="1"/>
    <xf numFmtId="0" fontId="3" fillId="4" borderId="1" xfId="2" applyFont="1" applyFill="1" applyBorder="1" applyAlignment="1">
      <alignment horizontal="left"/>
    </xf>
    <xf numFmtId="164" fontId="3" fillId="4" borderId="1" xfId="2" applyNumberFormat="1" applyFont="1" applyFill="1" applyBorder="1" applyAlignment="1">
      <alignment horizontal="left"/>
    </xf>
    <xf numFmtId="4" fontId="5" fillId="3" borderId="5" xfId="0" applyNumberFormat="1" applyFont="1" applyFill="1" applyBorder="1"/>
    <xf numFmtId="0" fontId="4" fillId="3" borderId="1" xfId="0" applyFont="1" applyFill="1" applyBorder="1"/>
    <xf numFmtId="0" fontId="4" fillId="0" borderId="1" xfId="0" applyFont="1" applyFill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4" fontId="4" fillId="3" borderId="1" xfId="0" applyNumberFormat="1" applyFont="1" applyFill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wrapText="1"/>
    </xf>
    <xf numFmtId="164" fontId="5" fillId="0" borderId="1" xfId="1" applyNumberFormat="1" applyFont="1" applyBorder="1" applyAlignment="1">
      <alignment horizontal="center"/>
    </xf>
    <xf numFmtId="4" fontId="5" fillId="3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164" fontId="4" fillId="4" borderId="1" xfId="1" applyNumberFormat="1" applyFont="1" applyFill="1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6" fillId="3" borderId="0" xfId="0" applyFont="1" applyFill="1"/>
    <xf numFmtId="0" fontId="6" fillId="0" borderId="0" xfId="0" applyFont="1" applyAlignment="1">
      <alignment horizontal="center"/>
    </xf>
    <xf numFmtId="0" fontId="6" fillId="0" borderId="0" xfId="0" applyFont="1" applyAlignment="1"/>
    <xf numFmtId="164" fontId="6" fillId="0" borderId="0" xfId="1" applyNumberFormat="1" applyFont="1" applyAlignment="1"/>
    <xf numFmtId="164" fontId="6" fillId="0" borderId="0" xfId="1" applyNumberFormat="1" applyFont="1"/>
    <xf numFmtId="0" fontId="6" fillId="0" borderId="0" xfId="0" applyFont="1"/>
    <xf numFmtId="43" fontId="6" fillId="0" borderId="0" xfId="1" applyFont="1" applyAlignment="1"/>
    <xf numFmtId="17" fontId="6" fillId="0" borderId="0" xfId="1" applyNumberFormat="1" applyFont="1" applyAlignment="1"/>
    <xf numFmtId="165" fontId="6" fillId="0" borderId="0" xfId="1" applyNumberFormat="1" applyFont="1" applyAlignment="1"/>
    <xf numFmtId="4" fontId="6" fillId="3" borderId="0" xfId="1" applyNumberFormat="1" applyFont="1" applyFill="1" applyAlignment="1"/>
    <xf numFmtId="0" fontId="3" fillId="0" borderId="0" xfId="0" applyFont="1" applyAlignment="1"/>
    <xf numFmtId="0" fontId="8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166" fontId="2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right" vertical="top"/>
    </xf>
    <xf numFmtId="166" fontId="2" fillId="0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 vertical="top"/>
    </xf>
    <xf numFmtId="166" fontId="7" fillId="0" borderId="1" xfId="1" applyNumberFormat="1" applyFont="1" applyFill="1" applyBorder="1" applyAlignment="1">
      <alignment horizontal="right" vertical="top"/>
    </xf>
    <xf numFmtId="166" fontId="3" fillId="0" borderId="1" xfId="0" applyNumberFormat="1" applyFont="1" applyFill="1" applyBorder="1"/>
    <xf numFmtId="164" fontId="4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5" borderId="1" xfId="0" applyFont="1" applyFill="1" applyBorder="1"/>
    <xf numFmtId="0" fontId="5" fillId="5" borderId="0" xfId="0" applyFont="1" applyFill="1"/>
    <xf numFmtId="4" fontId="5" fillId="5" borderId="4" xfId="0" applyNumberFormat="1" applyFont="1" applyFill="1" applyBorder="1" applyAlignment="1">
      <alignment horizontal="center" vertical="center" wrapText="1"/>
    </xf>
    <xf numFmtId="164" fontId="5" fillId="5" borderId="0" xfId="1" applyNumberFormat="1" applyFont="1" applyFill="1"/>
    <xf numFmtId="0" fontId="3" fillId="6" borderId="1" xfId="2" applyFont="1" applyFill="1" applyBorder="1" applyAlignment="1">
      <alignment horizontal="center"/>
    </xf>
    <xf numFmtId="164" fontId="3" fillId="6" borderId="1" xfId="2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wrapText="1"/>
    </xf>
    <xf numFmtId="0" fontId="4" fillId="0" borderId="0" xfId="3" applyFont="1"/>
    <xf numFmtId="2" fontId="4" fillId="0" borderId="0" xfId="3" applyNumberFormat="1" applyFont="1" applyAlignment="1">
      <alignment horizontal="center"/>
    </xf>
    <xf numFmtId="2" fontId="4" fillId="0" borderId="0" xfId="3" applyNumberFormat="1" applyFont="1"/>
    <xf numFmtId="0" fontId="5" fillId="0" borderId="0" xfId="3" applyFont="1" applyAlignment="1">
      <alignment horizontal="right"/>
    </xf>
    <xf numFmtId="0" fontId="5" fillId="0" borderId="0" xfId="3" applyFont="1" applyAlignment="1">
      <alignment horizontal="center"/>
    </xf>
    <xf numFmtId="0" fontId="5" fillId="0" borderId="0" xfId="3" applyFont="1"/>
    <xf numFmtId="0" fontId="10" fillId="7" borderId="2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2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right" vertical="center"/>
    </xf>
    <xf numFmtId="167" fontId="11" fillId="8" borderId="1" xfId="0" applyNumberFormat="1" applyFont="1" applyFill="1" applyBorder="1" applyAlignment="1">
      <alignment horizontal="right" vertical="center"/>
    </xf>
    <xf numFmtId="43" fontId="11" fillId="8" borderId="1" xfId="0" applyNumberFormat="1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right" vertical="center"/>
    </xf>
    <xf numFmtId="43" fontId="10" fillId="8" borderId="1" xfId="0" applyNumberFormat="1" applyFont="1" applyFill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43" fontId="11" fillId="0" borderId="1" xfId="0" applyNumberFormat="1" applyFont="1" applyBorder="1" applyAlignment="1">
      <alignment horizontal="right" vertical="center"/>
    </xf>
    <xf numFmtId="168" fontId="11" fillId="0" borderId="1" xfId="0" applyNumberFormat="1" applyFont="1" applyBorder="1" applyAlignment="1">
      <alignment horizontal="right" vertical="center"/>
    </xf>
    <xf numFmtId="0" fontId="11" fillId="9" borderId="1" xfId="0" applyFont="1" applyFill="1" applyBorder="1" applyAlignment="1">
      <alignment horizontal="right" vertical="center"/>
    </xf>
    <xf numFmtId="43" fontId="11" fillId="9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43" fontId="10" fillId="0" borderId="1" xfId="0" applyNumberFormat="1" applyFont="1" applyBorder="1" applyAlignment="1">
      <alignment horizontal="right" vertical="center"/>
    </xf>
    <xf numFmtId="0" fontId="12" fillId="8" borderId="1" xfId="0" applyFont="1" applyFill="1" applyBorder="1" applyAlignment="1">
      <alignment horizontal="right" vertical="center"/>
    </xf>
    <xf numFmtId="43" fontId="12" fillId="8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right" vertical="center"/>
    </xf>
    <xf numFmtId="43" fontId="12" fillId="0" borderId="1" xfId="0" applyNumberFormat="1" applyFont="1" applyBorder="1" applyAlignment="1">
      <alignment horizontal="right" vertical="center"/>
    </xf>
    <xf numFmtId="0" fontId="10" fillId="0" borderId="1" xfId="1" applyNumberFormat="1" applyFont="1" applyBorder="1" applyAlignment="1">
      <alignment horizontal="right" vertical="center"/>
    </xf>
    <xf numFmtId="0" fontId="10" fillId="10" borderId="1" xfId="0" applyFont="1" applyFill="1" applyBorder="1" applyAlignment="1">
      <alignment horizontal="right" vertical="center"/>
    </xf>
    <xf numFmtId="43" fontId="10" fillId="10" borderId="1" xfId="0" applyNumberFormat="1" applyFont="1" applyFill="1" applyBorder="1" applyAlignment="1">
      <alignment horizontal="right" vertical="center"/>
    </xf>
    <xf numFmtId="0" fontId="4" fillId="11" borderId="0" xfId="4" applyFont="1" applyFill="1" applyBorder="1" applyAlignment="1">
      <alignment horizontal="left"/>
    </xf>
    <xf numFmtId="0" fontId="4" fillId="11" borderId="0" xfId="4" applyFont="1" applyFill="1" applyBorder="1"/>
    <xf numFmtId="2" fontId="4" fillId="0" borderId="0" xfId="3" applyNumberFormat="1" applyFont="1" applyBorder="1" applyAlignment="1">
      <alignment horizontal="center"/>
    </xf>
    <xf numFmtId="0" fontId="4" fillId="0" borderId="0" xfId="3" applyFont="1" applyAlignment="1">
      <alignment horizontal="center"/>
    </xf>
    <xf numFmtId="43" fontId="4" fillId="0" borderId="0" xfId="5" applyFont="1"/>
    <xf numFmtId="0" fontId="4" fillId="11" borderId="0" xfId="4" applyFont="1" applyFill="1" applyAlignment="1">
      <alignment horizontal="left"/>
    </xf>
    <xf numFmtId="0" fontId="4" fillId="11" borderId="0" xfId="4" applyFont="1" applyFill="1"/>
    <xf numFmtId="0" fontId="4" fillId="11" borderId="0" xfId="4" applyFont="1" applyFill="1" applyAlignment="1"/>
    <xf numFmtId="0" fontId="4" fillId="0" borderId="0" xfId="3" applyFont="1" applyBorder="1"/>
    <xf numFmtId="169" fontId="4" fillId="0" borderId="0" xfId="3" applyNumberFormat="1" applyFont="1" applyBorder="1"/>
    <xf numFmtId="39" fontId="4" fillId="0" borderId="0" xfId="5" applyNumberFormat="1" applyFont="1" applyBorder="1" applyAlignment="1">
      <alignment horizontal="center"/>
    </xf>
    <xf numFmtId="2" fontId="4" fillId="0" borderId="0" xfId="5" applyNumberFormat="1" applyFont="1" applyBorder="1" applyAlignment="1">
      <alignment horizontal="center"/>
    </xf>
    <xf numFmtId="2" fontId="13" fillId="0" borderId="0" xfId="5" applyNumberFormat="1" applyFont="1" applyBorder="1" applyAlignment="1">
      <alignment horizontal="center"/>
    </xf>
    <xf numFmtId="2" fontId="13" fillId="0" borderId="0" xfId="3" applyNumberFormat="1" applyFont="1" applyBorder="1" applyAlignment="1">
      <alignment horizontal="center"/>
    </xf>
    <xf numFmtId="2" fontId="4" fillId="0" borderId="0" xfId="3" applyNumberFormat="1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center" wrapText="1"/>
    </xf>
    <xf numFmtId="14" fontId="4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3" borderId="2" xfId="0" applyFont="1" applyFill="1" applyBorder="1" applyAlignment="1">
      <alignment horizontal="center" vertical="center" wrapText="1"/>
    </xf>
    <xf numFmtId="14" fontId="5" fillId="3" borderId="2" xfId="0" applyNumberFormat="1" applyFont="1" applyFill="1" applyBorder="1" applyAlignment="1">
      <alignment horizontal="center" vertical="center" wrapText="1"/>
    </xf>
    <xf numFmtId="14" fontId="5" fillId="3" borderId="6" xfId="0" applyNumberFormat="1" applyFont="1" applyFill="1" applyBorder="1" applyAlignment="1">
      <alignment horizontal="center" vertical="center" wrapText="1"/>
    </xf>
    <xf numFmtId="14" fontId="5" fillId="3" borderId="4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4" fontId="5" fillId="3" borderId="3" xfId="0" applyNumberFormat="1" applyFont="1" applyFill="1" applyBorder="1" applyAlignment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0" fontId="4" fillId="0" borderId="1" xfId="0" applyFont="1" applyBorder="1" applyAlignment="1">
      <alignment vertical="top" wrapText="1"/>
    </xf>
    <xf numFmtId="15" fontId="4" fillId="0" borderId="1" xfId="0" applyNumberFormat="1" applyFont="1" applyBorder="1" applyAlignment="1">
      <alignment horizontal="center" vertical="top" wrapText="1"/>
    </xf>
    <xf numFmtId="43" fontId="4" fillId="0" borderId="1" xfId="1" applyFont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</cellXfs>
  <cellStyles count="6">
    <cellStyle name="40% - Accent5" xfId="2" builtinId="47"/>
    <cellStyle name="Comma" xfId="1" builtinId="3"/>
    <cellStyle name="Comma 6" xfId="5"/>
    <cellStyle name="Normal" xfId="0" builtinId="0"/>
    <cellStyle name="Normal 2" xfId="4"/>
    <cellStyle name="Normal 9" xfId="3"/>
  </cellStyles>
  <dxfs count="0"/>
  <tableStyles count="0" defaultTableStyle="TableStyleMedium2" defaultPivotStyle="PivotStyleLight16"/>
  <colors>
    <mruColors>
      <color rgb="FF99CC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MS%20Files/Users/NEDA/Desktop/CY%202010%20ODA%20Review%20Final%20Report/CY%202010%20ODA%20Report%20(doc%20files)/CY%202010%20ODA%20Review%20Annexes%20(26%20June%202011)/Annex%203-A%20List%20of%20Active%20ODA%20Loan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ropbox/23rd%20ODA%20Review%20(2014)/SDAD%20Submissions/Financial%20Performance/Loans%20Matrix%20as%20of%20December%202014%20(RAFPEP%20changed%20to%20Project)%200629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bgatdula/Dropbox/23rd%20ODA%20Review%20(2014)/SDAD%20Submissions/Annexes/Annex%203-A%20to%203-B%20(Financial%20Perf)%20-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ProjectFinInfo2"/>
      <sheetName val="Project Count by IA (Backlog)"/>
      <sheetName val="Utilization Rate V TE"/>
      <sheetName val="Age of Ongoing Loans (ok)"/>
      <sheetName val="Ageing Graphs"/>
      <sheetName val="Age of CLosed Loans (ok)"/>
      <sheetName val="Distribution"/>
      <sheetName val=" Below 70 AR DR (ok)"/>
      <sheetName val="Indicators (ok)"/>
      <sheetName val="Indicators 2 (ok)"/>
      <sheetName val="DR AR Backlog (ok)"/>
      <sheetName val="UR vs TE (ok)"/>
      <sheetName val="TE vs UR by Age"/>
      <sheetName val="Age of Ongoing Loans 2 (ok)"/>
      <sheetName val="Age of Closed Loans "/>
      <sheetName val="Sheet7"/>
      <sheetName val="Sheet9"/>
      <sheetName val="Sheet8"/>
      <sheetName val="LoanProjectFinInfo2 (3)"/>
    </sheetNames>
    <sheetDataSet>
      <sheetData sheetId="0">
        <row r="2">
          <cell r="A2" t="str">
            <v>Loan ID</v>
          </cell>
          <cell r="B2" t="str">
            <v>Loan_Title</v>
          </cell>
          <cell r="C2" t="str">
            <v>LGU_Participated</v>
          </cell>
          <cell r="D2" t="str">
            <v>MDFO</v>
          </cell>
          <cell r="E2" t="str">
            <v>Fund_Source</v>
          </cell>
          <cell r="F2" t="str">
            <v>Fund_Source1</v>
          </cell>
          <cell r="G2" t="str">
            <v>Loan_Type</v>
          </cell>
          <cell r="H2" t="str">
            <v>PC</v>
          </cell>
          <cell r="I2" t="str">
            <v>Proj - Multi Loans</v>
          </cell>
          <cell r="J2" t="str">
            <v>Prog Type</v>
          </cell>
          <cell r="K2" t="str">
            <v>IA</v>
          </cell>
          <cell r="L2" t="str">
            <v>IA-Type</v>
          </cell>
          <cell r="M2" t="str">
            <v>BD_NBD</v>
          </cell>
          <cell r="N2" t="str">
            <v>Sector</v>
          </cell>
          <cell r="O2" t="str">
            <v>Subsector</v>
          </cell>
          <cell r="P2" t="str">
            <v>Subsubsector</v>
          </cell>
          <cell r="Q2" t="str">
            <v>Main_Region</v>
          </cell>
          <cell r="R2" t="str">
            <v>Region_</v>
          </cell>
          <cell r="S2" t="str">
            <v>MultiRegion</v>
          </cell>
          <cell r="T2" t="str">
            <v>Fin_Year_ID</v>
          </cell>
          <cell r="U2" t="str">
            <v>AllFinInfo.LoanID</v>
          </cell>
          <cell r="V2" t="str">
            <v>Reporting Date</v>
          </cell>
          <cell r="W2" t="str">
            <v>MaxReportDate</v>
          </cell>
          <cell r="X2" t="str">
            <v>1QA</v>
          </cell>
          <cell r="Y2" t="str">
            <v>2QA</v>
          </cell>
          <cell r="Z2" t="str">
            <v>3QA</v>
          </cell>
          <cell r="AA2" t="str">
            <v>4QA</v>
          </cell>
          <cell r="AB2" t="str">
            <v>Cum_Actual_Disb_Year</v>
          </cell>
          <cell r="AC2" t="str">
            <v>1QT</v>
          </cell>
          <cell r="AD2" t="str">
            <v>2QT</v>
          </cell>
          <cell r="AE2" t="str">
            <v>3QT</v>
          </cell>
          <cell r="AF2" t="str">
            <v>4QT</v>
          </cell>
          <cell r="AG2" t="str">
            <v>Cum_Target_Disb_Year</v>
          </cell>
          <cell r="AH2" t="str">
            <v>1C</v>
          </cell>
          <cell r="AI2" t="str">
            <v>2C</v>
          </cell>
          <cell r="AJ2" t="str">
            <v>3C</v>
          </cell>
          <cell r="AK2" t="str">
            <v>4C</v>
          </cell>
          <cell r="AL2" t="str">
            <v>Cum_Cancellations_Year</v>
          </cell>
          <cell r="AM2" t="str">
            <v>Undisbursed_Amount_Prev</v>
          </cell>
          <cell r="AN2" t="str">
            <v>Loan_Balance</v>
          </cell>
          <cell r="AO2" t="str">
            <v>DisbRate</v>
          </cell>
          <cell r="AP2" t="str">
            <v>Cum_Actual_Disb</v>
          </cell>
          <cell r="AQ2" t="str">
            <v>Cum_Target_Disb</v>
          </cell>
          <cell r="AR2" t="str">
            <v>Loan_Amount</v>
          </cell>
          <cell r="AS2" t="str">
            <v>Net_Commitment</v>
          </cell>
          <cell r="AT2" t="str">
            <v>AvailRate</v>
          </cell>
          <cell r="AU2" t="str">
            <v>Backlog_Amount</v>
          </cell>
          <cell r="AV2" t="str">
            <v>Cumulative Cancellation</v>
          </cell>
          <cell r="AW2" t="str">
            <v>DisbursementRatio</v>
          </cell>
          <cell r="AX2" t="str">
            <v>Loan_Signing_Date</v>
          </cell>
          <cell r="AY2" t="str">
            <v>Loan_Closing_Date</v>
          </cell>
          <cell r="AZ2" t="str">
            <v>Rev_Closing_Date</v>
          </cell>
          <cell r="BA2" t="str">
            <v>Max_Closing_Date</v>
          </cell>
          <cell r="BB2" t="str">
            <v>Loan_Effectivity_Date</v>
          </cell>
          <cell r="BC2" t="str">
            <v>Length_In_Years</v>
          </cell>
          <cell r="BD2" t="str">
            <v>Age_In_Years</v>
          </cell>
          <cell r="BE2" t="str">
            <v>Delay_In_Years</v>
          </cell>
          <cell r="BF2" t="str">
            <v>TimeElapsed</v>
          </cell>
          <cell r="BG2" t="str">
            <v>UtilizationRate</v>
          </cell>
          <cell r="BH2" t="str">
            <v>Balance</v>
          </cell>
          <cell r="BI2" t="str">
            <v>TE-UR</v>
          </cell>
          <cell r="BJ2" t="str">
            <v>Loan_Status</v>
          </cell>
          <cell r="BK2" t="str">
            <v>Status for the Year</v>
          </cell>
          <cell r="BL2" t="str">
            <v>Table 1</v>
          </cell>
          <cell r="BM2" t="str">
            <v>Disbursement (Backlog)</v>
          </cell>
          <cell r="BN2" t="str">
            <v>Availment (Backlog)</v>
          </cell>
          <cell r="BO2" t="str">
            <v>DR</v>
          </cell>
          <cell r="BP2" t="str">
            <v>DR70%</v>
          </cell>
          <cell r="BQ2" t="str">
            <v>AR</v>
          </cell>
          <cell r="BR2" t="str">
            <v>AR70%</v>
          </cell>
          <cell r="BS2" t="str">
            <v>Closed/Fully Availed</v>
          </cell>
          <cell r="BT2" t="str">
            <v>New</v>
          </cell>
          <cell r="BU2" t="str">
            <v>Flow</v>
          </cell>
          <cell r="BV2" t="str">
            <v>Loan Count</v>
          </cell>
        </row>
        <row r="3">
          <cell r="A3" t="str">
            <v>8435-PH</v>
          </cell>
          <cell r="B3" t="str">
            <v>Third Philippines Development Policy Loan to Foster More Inclusive Growth (DPL 3)</v>
          </cell>
          <cell r="C3" t="b">
            <v>0</v>
          </cell>
          <cell r="D3" t="b">
            <v>0</v>
          </cell>
          <cell r="E3" t="str">
            <v>WB</v>
          </cell>
          <cell r="F3" t="str">
            <v>WB</v>
          </cell>
          <cell r="G3" t="str">
            <v>Program</v>
          </cell>
          <cell r="H3">
            <v>1</v>
          </cell>
          <cell r="J3" t="str">
            <v>B</v>
          </cell>
          <cell r="K3" t="str">
            <v>DOF</v>
          </cell>
          <cell r="L3" t="str">
            <v>NGA</v>
          </cell>
          <cell r="M3" t="b">
            <v>0</v>
          </cell>
          <cell r="N3" t="str">
            <v>Governance and Institutions Development</v>
          </cell>
          <cell r="O3" t="str">
            <v>Economic Governance</v>
          </cell>
          <cell r="P3" t="str">
            <v/>
          </cell>
          <cell r="Q3" t="str">
            <v>NATIONWIDE</v>
          </cell>
          <cell r="R3" t="str">
            <v>Nationwide</v>
          </cell>
          <cell r="S3" t="str">
            <v>Nationwide</v>
          </cell>
          <cell r="T3">
            <v>1575</v>
          </cell>
          <cell r="U3" t="str">
            <v>8435-PH</v>
          </cell>
          <cell r="V3">
            <v>42004</v>
          </cell>
          <cell r="W3">
            <v>42004</v>
          </cell>
          <cell r="X3">
            <v>0</v>
          </cell>
          <cell r="Y3">
            <v>0</v>
          </cell>
          <cell r="Z3">
            <v>0</v>
          </cell>
          <cell r="AA3">
            <v>0</v>
          </cell>
          <cell r="AB3">
            <v>0</v>
          </cell>
          <cell r="AC3">
            <v>0</v>
          </cell>
          <cell r="AD3">
            <v>0</v>
          </cell>
          <cell r="AE3">
            <v>0</v>
          </cell>
          <cell r="AF3">
            <v>0</v>
          </cell>
          <cell r="AG3">
            <v>0</v>
          </cell>
          <cell r="AH3">
            <v>0</v>
          </cell>
          <cell r="AI3">
            <v>0</v>
          </cell>
          <cell r="AJ3">
            <v>0</v>
          </cell>
          <cell r="AK3">
            <v>0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300</v>
          </cell>
          <cell r="AS3">
            <v>300</v>
          </cell>
          <cell r="AT3">
            <v>0</v>
          </cell>
          <cell r="AU3">
            <v>0</v>
          </cell>
          <cell r="AV3">
            <v>0</v>
          </cell>
          <cell r="AW3" t="str">
            <v>#Num!</v>
          </cell>
          <cell r="AX3">
            <v>41926</v>
          </cell>
          <cell r="AY3">
            <v>42369</v>
          </cell>
          <cell r="BA3">
            <v>42369</v>
          </cell>
          <cell r="BB3">
            <v>42016</v>
          </cell>
          <cell r="BC3">
            <v>0.96699999999999997</v>
          </cell>
          <cell r="BD3">
            <v>-3.3000000000000002E-2</v>
          </cell>
          <cell r="BE3">
            <v>-1</v>
          </cell>
          <cell r="BF3">
            <v>-3.4000000000000002E-2</v>
          </cell>
          <cell r="BG3">
            <v>0</v>
          </cell>
          <cell r="BH3">
            <v>300</v>
          </cell>
          <cell r="BI3" t="str">
            <v>-3.40%</v>
          </cell>
          <cell r="BJ3" t="str">
            <v>Newly Signed</v>
          </cell>
          <cell r="BK3" t="str">
            <v>Newly Signed</v>
          </cell>
          <cell r="BL3" t="str">
            <v>Newly-Signed</v>
          </cell>
          <cell r="BM3">
            <v>0</v>
          </cell>
          <cell r="BN3">
            <v>0</v>
          </cell>
          <cell r="BO3">
            <v>0</v>
          </cell>
          <cell r="BP3" t="str">
            <v>Below</v>
          </cell>
          <cell r="BQ3">
            <v>0</v>
          </cell>
          <cell r="BR3" t="str">
            <v>Below</v>
          </cell>
          <cell r="BS3" t="str">
            <v/>
          </cell>
          <cell r="BT3" t="str">
            <v>New</v>
          </cell>
          <cell r="BU3" t="str">
            <v>New</v>
          </cell>
          <cell r="BV3">
            <v>1</v>
          </cell>
        </row>
        <row r="4">
          <cell r="A4" t="str">
            <v>2662-PHI</v>
          </cell>
          <cell r="B4" t="str">
            <v>Social Protection Support Project</v>
          </cell>
          <cell r="C4" t="b">
            <v>1</v>
          </cell>
          <cell r="D4" t="b">
            <v>0</v>
          </cell>
          <cell r="E4" t="str">
            <v>ADB</v>
          </cell>
          <cell r="F4" t="str">
            <v>ADB</v>
          </cell>
          <cell r="G4" t="str">
            <v>Program</v>
          </cell>
          <cell r="H4">
            <v>1</v>
          </cell>
          <cell r="J4" t="str">
            <v>Hybrid</v>
          </cell>
          <cell r="K4" t="str">
            <v>DSWD</v>
          </cell>
          <cell r="L4" t="str">
            <v>NGA</v>
          </cell>
          <cell r="M4" t="b">
            <v>1</v>
          </cell>
          <cell r="N4" t="str">
            <v>Social Reform and Community Development</v>
          </cell>
          <cell r="O4" t="str">
            <v>Social Welfare and Community Development</v>
          </cell>
          <cell r="P4" t="str">
            <v/>
          </cell>
          <cell r="Q4" t="str">
            <v>NATIONWIDE</v>
          </cell>
          <cell r="R4" t="str">
            <v>Nationwide</v>
          </cell>
          <cell r="S4" t="str">
            <v>Nationwide</v>
          </cell>
          <cell r="T4">
            <v>1514</v>
          </cell>
          <cell r="U4" t="str">
            <v>2662-PHI</v>
          </cell>
          <cell r="V4">
            <v>42004</v>
          </cell>
          <cell r="W4">
            <v>42004</v>
          </cell>
          <cell r="X4">
            <v>4.8803999999999998</v>
          </cell>
          <cell r="Y4">
            <v>30.797999999999998</v>
          </cell>
          <cell r="Z4">
            <v>9.0500000000000007</v>
          </cell>
          <cell r="AA4">
            <v>30.8</v>
          </cell>
          <cell r="AB4">
            <v>75.528400000000005</v>
          </cell>
          <cell r="AC4">
            <v>9.76</v>
          </cell>
          <cell r="AD4">
            <v>21.58</v>
          </cell>
          <cell r="AE4">
            <v>15.5</v>
          </cell>
          <cell r="AF4">
            <v>29.96</v>
          </cell>
          <cell r="AG4">
            <v>76.8</v>
          </cell>
          <cell r="AH4">
            <v>0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150.798</v>
          </cell>
          <cell r="AN4">
            <v>150.798</v>
          </cell>
          <cell r="AO4" t="str">
            <v>98.34%</v>
          </cell>
          <cell r="AP4">
            <v>324.7</v>
          </cell>
          <cell r="AQ4">
            <v>304.3</v>
          </cell>
          <cell r="AR4">
            <v>400</v>
          </cell>
          <cell r="AS4">
            <v>400</v>
          </cell>
          <cell r="AT4" t="str">
            <v>106.70%</v>
          </cell>
          <cell r="AU4">
            <v>-20.399999999999999</v>
          </cell>
          <cell r="AV4">
            <v>0</v>
          </cell>
          <cell r="AW4" t="str">
            <v>50.09%</v>
          </cell>
          <cell r="AX4">
            <v>40435</v>
          </cell>
          <cell r="AY4">
            <v>42460</v>
          </cell>
          <cell r="BA4">
            <v>42460</v>
          </cell>
          <cell r="BB4">
            <v>40555</v>
          </cell>
          <cell r="BC4">
            <v>5.2190000000000003</v>
          </cell>
          <cell r="BD4">
            <v>3.97</v>
          </cell>
          <cell r="BE4">
            <v>-1.2490000000000001</v>
          </cell>
          <cell r="BF4">
            <v>0.76060000000000005</v>
          </cell>
          <cell r="BG4">
            <v>0.81179999999999997</v>
          </cell>
          <cell r="BH4">
            <v>75.3</v>
          </cell>
          <cell r="BI4" t="str">
            <v>-5.12%</v>
          </cell>
          <cell r="BJ4" t="str">
            <v>Ongoing</v>
          </cell>
          <cell r="BK4" t="str">
            <v>Ongoing</v>
          </cell>
          <cell r="BL4" t="str">
            <v>Continuing from Previous Years</v>
          </cell>
          <cell r="BM4">
            <v>-1.2715999999999923</v>
          </cell>
          <cell r="BN4">
            <v>20.399999999999977</v>
          </cell>
          <cell r="BO4">
            <v>0.98344270833333347</v>
          </cell>
          <cell r="BP4" t="str">
            <v>Above</v>
          </cell>
          <cell r="BQ4">
            <v>1.0670391061452513</v>
          </cell>
          <cell r="BR4" t="str">
            <v>Above</v>
          </cell>
          <cell r="BS4" t="str">
            <v/>
          </cell>
          <cell r="BT4" t="str">
            <v/>
          </cell>
          <cell r="BV4">
            <v>1</v>
          </cell>
        </row>
        <row r="5">
          <cell r="A5" t="str">
            <v>3080-PHI</v>
          </cell>
          <cell r="B5" t="str">
            <v>Emergency Assistance for Relief and Recovery from Typhoon Yolanda</v>
          </cell>
          <cell r="C5" t="b">
            <v>0</v>
          </cell>
          <cell r="D5" t="b">
            <v>0</v>
          </cell>
          <cell r="E5" t="str">
            <v>ADB</v>
          </cell>
          <cell r="F5" t="str">
            <v>ADB</v>
          </cell>
          <cell r="G5" t="str">
            <v>Program</v>
          </cell>
          <cell r="H5">
            <v>1</v>
          </cell>
          <cell r="J5" t="str">
            <v>B</v>
          </cell>
          <cell r="K5" t="str">
            <v>DOF</v>
          </cell>
          <cell r="L5" t="str">
            <v>NGA</v>
          </cell>
          <cell r="M5" t="b">
            <v>1</v>
          </cell>
          <cell r="N5" t="str">
            <v>Governance and Institutions Development</v>
          </cell>
          <cell r="O5" t="str">
            <v>Public Safety and Disaster Management</v>
          </cell>
          <cell r="P5" t="str">
            <v/>
          </cell>
          <cell r="Q5" t="str">
            <v>NATIONWIDE</v>
          </cell>
          <cell r="R5" t="str">
            <v>Nationwide</v>
          </cell>
          <cell r="S5" t="str">
            <v>Nationwide</v>
          </cell>
          <cell r="T5">
            <v>1515</v>
          </cell>
          <cell r="U5" t="str">
            <v>3080-PHI</v>
          </cell>
          <cell r="V5">
            <v>42004</v>
          </cell>
          <cell r="W5">
            <v>42004</v>
          </cell>
          <cell r="X5">
            <v>200</v>
          </cell>
          <cell r="Y5">
            <v>100</v>
          </cell>
          <cell r="Z5">
            <v>0</v>
          </cell>
          <cell r="AA5">
            <v>0</v>
          </cell>
          <cell r="AB5">
            <v>300</v>
          </cell>
          <cell r="AC5">
            <v>200</v>
          </cell>
          <cell r="AD5">
            <v>100</v>
          </cell>
          <cell r="AE5">
            <v>0</v>
          </cell>
          <cell r="AF5">
            <v>0</v>
          </cell>
          <cell r="AG5">
            <v>300</v>
          </cell>
          <cell r="AH5">
            <v>0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500</v>
          </cell>
          <cell r="AN5">
            <v>500</v>
          </cell>
          <cell r="AO5" t="str">
            <v>100.00%</v>
          </cell>
          <cell r="AP5">
            <v>300</v>
          </cell>
          <cell r="AQ5">
            <v>300</v>
          </cell>
          <cell r="AR5">
            <v>500</v>
          </cell>
          <cell r="AS5">
            <v>500</v>
          </cell>
          <cell r="AT5">
            <v>1</v>
          </cell>
          <cell r="AU5">
            <v>66.7</v>
          </cell>
          <cell r="AV5">
            <v>0</v>
          </cell>
          <cell r="AW5" t="str">
            <v>60.00%</v>
          </cell>
          <cell r="AX5">
            <v>41631</v>
          </cell>
          <cell r="AY5">
            <v>42004</v>
          </cell>
          <cell r="AZ5">
            <v>42185</v>
          </cell>
          <cell r="BA5">
            <v>42185</v>
          </cell>
          <cell r="BB5">
            <v>41698</v>
          </cell>
          <cell r="BC5">
            <v>1.3340000000000001</v>
          </cell>
          <cell r="BD5">
            <v>0.83799999999999997</v>
          </cell>
          <cell r="BE5">
            <v>-0.496</v>
          </cell>
          <cell r="BF5">
            <v>0.62829999999999997</v>
          </cell>
          <cell r="BG5">
            <v>0.6</v>
          </cell>
          <cell r="BH5">
            <v>200</v>
          </cell>
          <cell r="BI5" t="str">
            <v>2.83%</v>
          </cell>
          <cell r="BJ5" t="str">
            <v>Ongoing</v>
          </cell>
          <cell r="BK5" t="str">
            <v>Newly Effective</v>
          </cell>
          <cell r="BL5" t="str">
            <v>Newly-Signed</v>
          </cell>
          <cell r="BM5">
            <v>0</v>
          </cell>
          <cell r="BN5">
            <v>0</v>
          </cell>
          <cell r="BO5">
            <v>1</v>
          </cell>
          <cell r="BP5" t="str">
            <v>Above</v>
          </cell>
          <cell r="BQ5">
            <v>1</v>
          </cell>
          <cell r="BR5" t="str">
            <v>Above</v>
          </cell>
          <cell r="BS5" t="str">
            <v/>
          </cell>
          <cell r="BT5" t="str">
            <v/>
          </cell>
          <cell r="BV5">
            <v>1</v>
          </cell>
        </row>
        <row r="6">
          <cell r="A6" t="str">
            <v>3111-PHI</v>
          </cell>
          <cell r="B6" t="str">
            <v>Local Government Finance and Fiscal Decentralization Reform Program Subprogram</v>
          </cell>
          <cell r="C6" t="b">
            <v>1</v>
          </cell>
          <cell r="D6" t="b">
            <v>0</v>
          </cell>
          <cell r="E6" t="str">
            <v>ADB</v>
          </cell>
          <cell r="F6" t="str">
            <v>ADB</v>
          </cell>
          <cell r="G6" t="str">
            <v>Program</v>
          </cell>
          <cell r="H6">
            <v>1</v>
          </cell>
          <cell r="J6" t="str">
            <v>B</v>
          </cell>
          <cell r="K6" t="str">
            <v>DOF</v>
          </cell>
          <cell r="L6" t="str">
            <v>NGA</v>
          </cell>
          <cell r="M6" t="b">
            <v>0</v>
          </cell>
          <cell r="N6" t="str">
            <v>Governance and Institutions Development</v>
          </cell>
          <cell r="O6" t="str">
            <v>Political Governance</v>
          </cell>
          <cell r="P6" t="str">
            <v/>
          </cell>
          <cell r="Q6" t="str">
            <v>NATIONWIDE</v>
          </cell>
          <cell r="R6" t="str">
            <v>Nationwide</v>
          </cell>
          <cell r="S6" t="str">
            <v>Nationwide</v>
          </cell>
          <cell r="T6">
            <v>1517</v>
          </cell>
          <cell r="U6" t="str">
            <v>3111-PHI</v>
          </cell>
          <cell r="V6">
            <v>42004</v>
          </cell>
          <cell r="W6">
            <v>42004</v>
          </cell>
          <cell r="X6">
            <v>0</v>
          </cell>
          <cell r="Y6">
            <v>250</v>
          </cell>
          <cell r="Z6">
            <v>0</v>
          </cell>
          <cell r="AA6">
            <v>0</v>
          </cell>
          <cell r="AB6">
            <v>250</v>
          </cell>
          <cell r="AC6">
            <v>0</v>
          </cell>
          <cell r="AD6">
            <v>0</v>
          </cell>
          <cell r="AE6">
            <v>0</v>
          </cell>
          <cell r="AF6">
            <v>250</v>
          </cell>
          <cell r="AG6">
            <v>250</v>
          </cell>
          <cell r="AH6">
            <v>0</v>
          </cell>
          <cell r="AI6">
            <v>0</v>
          </cell>
          <cell r="AJ6">
            <v>0</v>
          </cell>
          <cell r="AK6">
            <v>0</v>
          </cell>
          <cell r="AL6">
            <v>0</v>
          </cell>
          <cell r="AM6">
            <v>250</v>
          </cell>
          <cell r="AN6">
            <v>250</v>
          </cell>
          <cell r="AO6" t="str">
            <v>100.00%</v>
          </cell>
          <cell r="AP6">
            <v>250</v>
          </cell>
          <cell r="AQ6">
            <v>250</v>
          </cell>
          <cell r="AR6">
            <v>250</v>
          </cell>
          <cell r="AS6">
            <v>250</v>
          </cell>
          <cell r="AT6">
            <v>1</v>
          </cell>
          <cell r="AU6">
            <v>0</v>
          </cell>
          <cell r="AV6">
            <v>0</v>
          </cell>
          <cell r="AW6" t="str">
            <v>100.00%</v>
          </cell>
          <cell r="AX6">
            <v>41684</v>
          </cell>
          <cell r="AY6">
            <v>42004</v>
          </cell>
          <cell r="BA6">
            <v>42004</v>
          </cell>
          <cell r="BB6">
            <v>41786</v>
          </cell>
          <cell r="BC6">
            <v>0.59699999999999998</v>
          </cell>
          <cell r="BD6">
            <v>0.59699999999999998</v>
          </cell>
          <cell r="BE6">
            <v>0</v>
          </cell>
          <cell r="BF6">
            <v>1</v>
          </cell>
          <cell r="BG6">
            <v>1</v>
          </cell>
          <cell r="BH6">
            <v>0</v>
          </cell>
          <cell r="BI6" t="str">
            <v>0.00%</v>
          </cell>
          <cell r="BJ6" t="str">
            <v>Newly Effective</v>
          </cell>
          <cell r="BK6" t="str">
            <v>Closed</v>
          </cell>
          <cell r="BL6" t="str">
            <v>Newly-Signed</v>
          </cell>
          <cell r="BM6">
            <v>0</v>
          </cell>
          <cell r="BN6">
            <v>0</v>
          </cell>
          <cell r="BO6">
            <v>1</v>
          </cell>
          <cell r="BP6" t="str">
            <v>Above</v>
          </cell>
          <cell r="BQ6">
            <v>1</v>
          </cell>
          <cell r="BR6" t="str">
            <v>Above</v>
          </cell>
          <cell r="BS6" t="str">
            <v>Closed/Terminated</v>
          </cell>
          <cell r="BT6" t="str">
            <v>New</v>
          </cell>
          <cell r="BU6" t="str">
            <v>Closed/Fully-Availed</v>
          </cell>
          <cell r="BV6">
            <v>1</v>
          </cell>
        </row>
        <row r="7">
          <cell r="A7" t="str">
            <v>PH-C24</v>
          </cell>
          <cell r="B7" t="str">
            <v>Development Policy Support Program-Investment Climate</v>
          </cell>
          <cell r="C7" t="b">
            <v>0</v>
          </cell>
          <cell r="D7" t="b">
            <v>0</v>
          </cell>
          <cell r="E7" t="str">
            <v>GOJ-JICA</v>
          </cell>
          <cell r="F7" t="str">
            <v>GOJ-JICA</v>
          </cell>
          <cell r="G7" t="str">
            <v>Program</v>
          </cell>
          <cell r="H7">
            <v>1</v>
          </cell>
          <cell r="J7" t="str">
            <v>B</v>
          </cell>
          <cell r="K7" t="str">
            <v>DOF</v>
          </cell>
          <cell r="L7" t="str">
            <v>NGA</v>
          </cell>
          <cell r="M7" t="b">
            <v>1</v>
          </cell>
          <cell r="N7" t="str">
            <v>Industry, Trade and Tourism</v>
          </cell>
          <cell r="O7" t="str">
            <v>Industry, Trade and Tourism</v>
          </cell>
          <cell r="P7" t="str">
            <v/>
          </cell>
          <cell r="Q7" t="str">
            <v>NATIONWIDE</v>
          </cell>
          <cell r="R7" t="str">
            <v>Nationwide</v>
          </cell>
          <cell r="S7" t="str">
            <v>Nationwide</v>
          </cell>
          <cell r="T7">
            <v>1550</v>
          </cell>
          <cell r="U7" t="str">
            <v>PH-C24</v>
          </cell>
          <cell r="V7">
            <v>42004</v>
          </cell>
          <cell r="W7">
            <v>42004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0</v>
          </cell>
          <cell r="AF7">
            <v>0</v>
          </cell>
          <cell r="AG7">
            <v>0</v>
          </cell>
          <cell r="AH7">
            <v>0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0</v>
          </cell>
          <cell r="AO7">
            <v>0</v>
          </cell>
          <cell r="AP7">
            <v>75.94</v>
          </cell>
          <cell r="AQ7">
            <v>75.94</v>
          </cell>
          <cell r="AR7">
            <v>75.94</v>
          </cell>
          <cell r="AS7">
            <v>75.94</v>
          </cell>
          <cell r="AT7">
            <v>1</v>
          </cell>
          <cell r="AU7">
            <v>0</v>
          </cell>
          <cell r="AV7">
            <v>0</v>
          </cell>
          <cell r="AW7" t="str">
            <v>#Num!</v>
          </cell>
          <cell r="AX7">
            <v>41192</v>
          </cell>
          <cell r="AY7">
            <v>42355</v>
          </cell>
          <cell r="BA7">
            <v>42355</v>
          </cell>
          <cell r="BB7">
            <v>41260</v>
          </cell>
          <cell r="BC7">
            <v>3</v>
          </cell>
          <cell r="BD7">
            <v>2.0379999999999998</v>
          </cell>
          <cell r="BE7">
            <v>-0.96199999999999997</v>
          </cell>
          <cell r="BF7">
            <v>0.67949999999999999</v>
          </cell>
          <cell r="BG7">
            <v>1</v>
          </cell>
          <cell r="BH7">
            <v>0</v>
          </cell>
          <cell r="BI7" t="str">
            <v>-32.05%</v>
          </cell>
          <cell r="BJ7" t="str">
            <v>Closed</v>
          </cell>
          <cell r="BK7" t="str">
            <v>Closed</v>
          </cell>
          <cell r="BL7" t="str">
            <v>Continuing from Previous Years</v>
          </cell>
          <cell r="BM7">
            <v>0</v>
          </cell>
          <cell r="BN7">
            <v>0</v>
          </cell>
          <cell r="BO7">
            <v>0</v>
          </cell>
          <cell r="BP7" t="str">
            <v>Below</v>
          </cell>
          <cell r="BQ7">
            <v>1</v>
          </cell>
          <cell r="BR7" t="str">
            <v>Above</v>
          </cell>
          <cell r="BS7" t="str">
            <v>Closed/Terminated</v>
          </cell>
          <cell r="BT7" t="str">
            <v/>
          </cell>
          <cell r="BU7" t="str">
            <v>Closed/Fully-Availed</v>
          </cell>
          <cell r="BV7">
            <v>1</v>
          </cell>
        </row>
        <row r="8">
          <cell r="A8" t="str">
            <v>PH-SB1</v>
          </cell>
          <cell r="B8" t="str">
            <v>Post Disaster Stand-by Loan</v>
          </cell>
          <cell r="C8" t="b">
            <v>0</v>
          </cell>
          <cell r="D8" t="b">
            <v>0</v>
          </cell>
          <cell r="E8" t="str">
            <v>GOJ-JICA</v>
          </cell>
          <cell r="F8" t="str">
            <v>GOJ-JICA</v>
          </cell>
          <cell r="G8" t="str">
            <v>Program</v>
          </cell>
          <cell r="H8">
            <v>1</v>
          </cell>
          <cell r="J8" t="str">
            <v>B</v>
          </cell>
          <cell r="K8" t="str">
            <v>DOF</v>
          </cell>
          <cell r="L8" t="str">
            <v>NGA</v>
          </cell>
          <cell r="M8" t="b">
            <v>0</v>
          </cell>
          <cell r="N8" t="str">
            <v>Governance and Institutions Development</v>
          </cell>
          <cell r="O8" t="str">
            <v>Public Safety and Disaster Management</v>
          </cell>
          <cell r="P8" t="str">
            <v/>
          </cell>
          <cell r="Q8" t="str">
            <v>NATIONWIDE</v>
          </cell>
          <cell r="R8" t="str">
            <v>Nationwide</v>
          </cell>
          <cell r="S8" t="str">
            <v>Nationwide</v>
          </cell>
          <cell r="T8">
            <v>1490</v>
          </cell>
          <cell r="U8" t="str">
            <v>PH-SB1</v>
          </cell>
          <cell r="V8">
            <v>42004</v>
          </cell>
          <cell r="W8">
            <v>42004</v>
          </cell>
          <cell r="X8">
            <v>146</v>
          </cell>
          <cell r="Y8">
            <v>0</v>
          </cell>
          <cell r="Z8">
            <v>96</v>
          </cell>
          <cell r="AA8">
            <v>0</v>
          </cell>
          <cell r="AB8">
            <v>242</v>
          </cell>
          <cell r="AC8">
            <v>146</v>
          </cell>
          <cell r="AD8">
            <v>0</v>
          </cell>
          <cell r="AE8">
            <v>0</v>
          </cell>
          <cell r="AF8">
            <v>0</v>
          </cell>
          <cell r="AG8">
            <v>242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486.67</v>
          </cell>
          <cell r="AN8">
            <v>486.67</v>
          </cell>
          <cell r="AO8">
            <v>1</v>
          </cell>
          <cell r="AP8">
            <v>242</v>
          </cell>
          <cell r="AQ8">
            <v>242</v>
          </cell>
          <cell r="AR8">
            <v>438.33</v>
          </cell>
          <cell r="AS8">
            <v>438.33</v>
          </cell>
          <cell r="AT8">
            <v>1</v>
          </cell>
          <cell r="AU8">
            <v>0</v>
          </cell>
          <cell r="AV8">
            <v>0</v>
          </cell>
          <cell r="AW8" t="str">
            <v>49.73%</v>
          </cell>
          <cell r="AX8">
            <v>41717</v>
          </cell>
          <cell r="AY8">
            <v>42820</v>
          </cell>
          <cell r="BA8">
            <v>42820</v>
          </cell>
          <cell r="BB8">
            <v>41724</v>
          </cell>
          <cell r="BC8">
            <v>3.0030000000000001</v>
          </cell>
          <cell r="BD8">
            <v>0.76700000000000002</v>
          </cell>
          <cell r="BE8">
            <v>-2.2360000000000002</v>
          </cell>
          <cell r="BF8">
            <v>0.2555</v>
          </cell>
          <cell r="BG8">
            <v>0.55210000000000004</v>
          </cell>
          <cell r="BH8">
            <v>196.33</v>
          </cell>
          <cell r="BI8" t="str">
            <v>-29.66%</v>
          </cell>
          <cell r="BJ8" t="str">
            <v>Ongoing</v>
          </cell>
          <cell r="BK8" t="str">
            <v>Newly Effective</v>
          </cell>
          <cell r="BL8" t="str">
            <v>Newly-Signed</v>
          </cell>
          <cell r="BM8">
            <v>0</v>
          </cell>
          <cell r="BN8">
            <v>0</v>
          </cell>
          <cell r="BO8">
            <v>1</v>
          </cell>
          <cell r="BP8" t="str">
            <v>Above</v>
          </cell>
          <cell r="BQ8">
            <v>1</v>
          </cell>
          <cell r="BR8" t="str">
            <v>Above</v>
          </cell>
          <cell r="BS8" t="str">
            <v/>
          </cell>
          <cell r="BT8" t="str">
            <v>New</v>
          </cell>
          <cell r="BU8" t="str">
            <v>New</v>
          </cell>
          <cell r="BV8">
            <v>1</v>
          </cell>
        </row>
        <row r="9">
          <cell r="A9" t="str">
            <v>767-PH</v>
          </cell>
          <cell r="B9" t="str">
            <v>Rapid Food Production Enhancement Programme</v>
          </cell>
          <cell r="C9" t="b">
            <v>0</v>
          </cell>
          <cell r="D9" t="b">
            <v>0</v>
          </cell>
          <cell r="E9" t="str">
            <v>Others</v>
          </cell>
          <cell r="F9" t="str">
            <v>IFAD</v>
          </cell>
          <cell r="G9" t="str">
            <v>Project</v>
          </cell>
          <cell r="H9">
            <v>1</v>
          </cell>
          <cell r="J9" t="str">
            <v>Hybrid</v>
          </cell>
          <cell r="K9" t="str">
            <v>DA</v>
          </cell>
          <cell r="L9" t="str">
            <v>NGA</v>
          </cell>
          <cell r="M9" t="b">
            <v>1</v>
          </cell>
          <cell r="N9" t="str">
            <v>Agriculture, Natural Resources and Agrarian Reform</v>
          </cell>
          <cell r="O9" t="str">
            <v>Agriculture and Agrarian Reform</v>
          </cell>
          <cell r="P9" t="str">
            <v/>
          </cell>
          <cell r="Q9" t="str">
            <v>MULTI-REGIONAL</v>
          </cell>
          <cell r="R9" t="str">
            <v>Multi-Regional</v>
          </cell>
          <cell r="S9" t="str">
            <v>V,VI,VIII,X</v>
          </cell>
          <cell r="T9">
            <v>1548</v>
          </cell>
          <cell r="U9" t="str">
            <v>767-PH</v>
          </cell>
          <cell r="V9">
            <v>42004</v>
          </cell>
          <cell r="W9">
            <v>42004</v>
          </cell>
          <cell r="X9">
            <v>0</v>
          </cell>
          <cell r="Y9">
            <v>0.17799999999999999</v>
          </cell>
          <cell r="Z9">
            <v>0</v>
          </cell>
          <cell r="AA9">
            <v>0</v>
          </cell>
          <cell r="AB9">
            <v>0.17799999999999999</v>
          </cell>
          <cell r="AC9">
            <v>0.05</v>
          </cell>
          <cell r="AD9">
            <v>0.05</v>
          </cell>
          <cell r="AE9">
            <v>0.05</v>
          </cell>
          <cell r="AF9">
            <v>0.05</v>
          </cell>
          <cell r="AG9">
            <v>0.2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1.38</v>
          </cell>
          <cell r="AN9">
            <v>1.38</v>
          </cell>
          <cell r="AO9" t="str">
            <v>89.00%</v>
          </cell>
          <cell r="AP9">
            <v>14.31</v>
          </cell>
          <cell r="AQ9">
            <v>15.36</v>
          </cell>
          <cell r="AR9">
            <v>15.9</v>
          </cell>
          <cell r="AS9">
            <v>15.9</v>
          </cell>
          <cell r="AT9">
            <v>0.93159999999999998</v>
          </cell>
          <cell r="AU9">
            <v>1.05</v>
          </cell>
          <cell r="AV9">
            <v>0</v>
          </cell>
          <cell r="AW9" t="str">
            <v>12.90%</v>
          </cell>
          <cell r="AX9">
            <v>40058</v>
          </cell>
          <cell r="AY9">
            <v>42916</v>
          </cell>
          <cell r="BA9">
            <v>42916</v>
          </cell>
          <cell r="BB9">
            <v>40126</v>
          </cell>
          <cell r="BC9">
            <v>7.6440000000000001</v>
          </cell>
          <cell r="BD9">
            <v>5.1449999999999996</v>
          </cell>
          <cell r="BE9">
            <v>-2.4990000000000001</v>
          </cell>
          <cell r="BF9">
            <v>0.67310000000000003</v>
          </cell>
          <cell r="BG9">
            <v>0.9</v>
          </cell>
          <cell r="BH9">
            <v>1.59</v>
          </cell>
          <cell r="BI9" t="str">
            <v>-22.69%</v>
          </cell>
          <cell r="BJ9" t="str">
            <v>Ongoing</v>
          </cell>
          <cell r="BK9" t="str">
            <v>Ongoing</v>
          </cell>
          <cell r="BL9" t="str">
            <v>Continuing from Previous Years</v>
          </cell>
          <cell r="BM9">
            <v>-2.200000000000002E-2</v>
          </cell>
          <cell r="BN9">
            <v>-1.0499999999999989</v>
          </cell>
          <cell r="BO9">
            <v>0.8899999999999999</v>
          </cell>
          <cell r="BP9" t="str">
            <v>Above</v>
          </cell>
          <cell r="BQ9">
            <v>0.93164062500000011</v>
          </cell>
          <cell r="BR9" t="str">
            <v>Above</v>
          </cell>
          <cell r="BS9" t="str">
            <v/>
          </cell>
          <cell r="BT9" t="str">
            <v/>
          </cell>
          <cell r="BV9">
            <v>1</v>
          </cell>
        </row>
        <row r="10">
          <cell r="A10" t="str">
            <v>8238-PH</v>
          </cell>
          <cell r="B10" t="str">
            <v>Second Development Policy Loan to Foster More Inclusive Growth</v>
          </cell>
          <cell r="C10" t="b">
            <v>0</v>
          </cell>
          <cell r="D10" t="b">
            <v>0</v>
          </cell>
          <cell r="E10" t="str">
            <v>WB</v>
          </cell>
          <cell r="F10" t="str">
            <v>WB</v>
          </cell>
          <cell r="G10" t="str">
            <v>Program</v>
          </cell>
          <cell r="H10">
            <v>1</v>
          </cell>
          <cell r="J10" t="str">
            <v>B</v>
          </cell>
          <cell r="K10" t="str">
            <v>DOF</v>
          </cell>
          <cell r="L10" t="str">
            <v>NGA</v>
          </cell>
          <cell r="M10" t="b">
            <v>1</v>
          </cell>
          <cell r="N10" t="str">
            <v>Governance and Institutions Development</v>
          </cell>
          <cell r="O10" t="str">
            <v>Economic Governance</v>
          </cell>
          <cell r="P10" t="str">
            <v/>
          </cell>
          <cell r="Q10" t="str">
            <v>NATIONWIDE</v>
          </cell>
          <cell r="R10" t="str">
            <v>Nationwide</v>
          </cell>
          <cell r="S10" t="str">
            <v>Nationwide</v>
          </cell>
          <cell r="T10">
            <v>1537</v>
          </cell>
          <cell r="U10" t="str">
            <v>8238-PH</v>
          </cell>
          <cell r="V10">
            <v>42004</v>
          </cell>
          <cell r="W10">
            <v>42004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0</v>
          </cell>
          <cell r="AN10">
            <v>0</v>
          </cell>
          <cell r="AO10">
            <v>0</v>
          </cell>
          <cell r="AP10">
            <v>300</v>
          </cell>
          <cell r="AQ10">
            <v>300</v>
          </cell>
          <cell r="AR10">
            <v>300</v>
          </cell>
          <cell r="AS10">
            <v>300</v>
          </cell>
          <cell r="AT10">
            <v>1</v>
          </cell>
          <cell r="AU10">
            <v>0</v>
          </cell>
          <cell r="AV10">
            <v>0</v>
          </cell>
          <cell r="AW10" t="str">
            <v>#Num!</v>
          </cell>
          <cell r="AX10">
            <v>41384</v>
          </cell>
          <cell r="AY10">
            <v>42004</v>
          </cell>
          <cell r="BA10">
            <v>42004</v>
          </cell>
          <cell r="BB10">
            <v>41460</v>
          </cell>
          <cell r="BC10" t="str">
            <v>Forty-five projects were financed by a single loan; seven projects were supported by two loans; and one project with three1.49</v>
          </cell>
          <cell r="BD10">
            <v>1.49</v>
          </cell>
          <cell r="BE10">
            <v>0</v>
          </cell>
          <cell r="BF10">
            <v>1</v>
          </cell>
          <cell r="BG10">
            <v>1</v>
          </cell>
          <cell r="BH10">
            <v>0</v>
          </cell>
          <cell r="BI10" t="str">
            <v>0.00%</v>
          </cell>
          <cell r="BJ10" t="str">
            <v>Closed</v>
          </cell>
          <cell r="BK10" t="str">
            <v>Closed</v>
          </cell>
          <cell r="BL10" t="str">
            <v>Continuing from Previous Years</v>
          </cell>
          <cell r="BM10">
            <v>0</v>
          </cell>
          <cell r="BN10">
            <v>0</v>
          </cell>
          <cell r="BO10">
            <v>0</v>
          </cell>
          <cell r="BP10" t="str">
            <v>Below</v>
          </cell>
          <cell r="BQ10">
            <v>1</v>
          </cell>
          <cell r="BR10" t="str">
            <v>Above</v>
          </cell>
          <cell r="BS10" t="str">
            <v>Closed/Terminated</v>
          </cell>
          <cell r="BT10" t="str">
            <v/>
          </cell>
          <cell r="BU10" t="str">
            <v>Closed/Fully-Availed</v>
          </cell>
          <cell r="BV10">
            <v>1</v>
          </cell>
        </row>
        <row r="11">
          <cell r="A11" t="str">
            <v>PH-7805</v>
          </cell>
          <cell r="B11" t="str">
            <v>Social Welfare and Development Reform</v>
          </cell>
          <cell r="C11" t="b">
            <v>0</v>
          </cell>
          <cell r="D11" t="b">
            <v>0</v>
          </cell>
          <cell r="E11" t="str">
            <v>WB</v>
          </cell>
          <cell r="F11" t="str">
            <v>WB</v>
          </cell>
          <cell r="G11" t="str">
            <v>Program</v>
          </cell>
          <cell r="H11">
            <v>1</v>
          </cell>
          <cell r="J11" t="str">
            <v>B</v>
          </cell>
          <cell r="K11" t="str">
            <v>DSWD</v>
          </cell>
          <cell r="L11" t="str">
            <v>NGA</v>
          </cell>
          <cell r="M11" t="b">
            <v>1</v>
          </cell>
          <cell r="N11" t="str">
            <v>Social Reform and Community Development</v>
          </cell>
          <cell r="O11" t="str">
            <v>Social Welfare and Community Development</v>
          </cell>
          <cell r="P11" t="str">
            <v/>
          </cell>
          <cell r="Q11" t="str">
            <v>NATIONWIDE</v>
          </cell>
          <cell r="R11" t="str">
            <v>Nationwide</v>
          </cell>
          <cell r="S11" t="str">
            <v>Nationwide</v>
          </cell>
          <cell r="T11">
            <v>1530</v>
          </cell>
          <cell r="U11" t="str">
            <v>PH-7805</v>
          </cell>
          <cell r="V11">
            <v>42004</v>
          </cell>
          <cell r="W11">
            <v>42004</v>
          </cell>
          <cell r="X11">
            <v>15.97</v>
          </cell>
          <cell r="Y11">
            <v>6.16</v>
          </cell>
          <cell r="Z11">
            <v>5.41</v>
          </cell>
          <cell r="AA11">
            <v>1.53</v>
          </cell>
          <cell r="AB11">
            <v>29.07</v>
          </cell>
          <cell r="AC11">
            <v>6.34</v>
          </cell>
          <cell r="AD11">
            <v>6.34</v>
          </cell>
          <cell r="AE11">
            <v>6.34</v>
          </cell>
          <cell r="AF11">
            <v>6.34375</v>
          </cell>
          <cell r="AG11">
            <v>25.36375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65.117000000000004</v>
          </cell>
          <cell r="AN11">
            <v>65.117000000000004</v>
          </cell>
          <cell r="AO11" t="str">
            <v>114.61%</v>
          </cell>
          <cell r="AP11">
            <v>368.95231999999999</v>
          </cell>
          <cell r="AQ11">
            <v>405</v>
          </cell>
          <cell r="AR11">
            <v>405</v>
          </cell>
          <cell r="AS11">
            <v>405</v>
          </cell>
          <cell r="AT11">
            <v>0.91100000000000003</v>
          </cell>
          <cell r="AU11">
            <v>36.048000000000002</v>
          </cell>
          <cell r="AV11">
            <v>0</v>
          </cell>
          <cell r="AW11" t="str">
            <v>44.64%</v>
          </cell>
          <cell r="AX11">
            <v>40185</v>
          </cell>
          <cell r="AY11">
            <v>41820</v>
          </cell>
          <cell r="AZ11">
            <v>42369</v>
          </cell>
          <cell r="BA11">
            <v>42369</v>
          </cell>
          <cell r="BB11">
            <v>40228</v>
          </cell>
          <cell r="BC11">
            <v>5.8659999999999997</v>
          </cell>
          <cell r="BD11">
            <v>4.8659999999999997</v>
          </cell>
          <cell r="BE11">
            <v>-1</v>
          </cell>
          <cell r="BF11">
            <v>0.82950000000000002</v>
          </cell>
          <cell r="BG11">
            <v>0.91100000000000003</v>
          </cell>
          <cell r="BH11">
            <v>36.048000000000002</v>
          </cell>
          <cell r="BI11" t="str">
            <v>-8.15%</v>
          </cell>
          <cell r="BJ11" t="str">
            <v>Ongoing</v>
          </cell>
          <cell r="BK11" t="str">
            <v>Ongoing</v>
          </cell>
          <cell r="BL11" t="str">
            <v>Continuing from Previous Years</v>
          </cell>
          <cell r="BM11">
            <v>3.7062500000000007</v>
          </cell>
          <cell r="BN11">
            <v>-36.047680000000014</v>
          </cell>
          <cell r="BO11">
            <v>1.146123897294367</v>
          </cell>
          <cell r="BP11" t="str">
            <v>Above</v>
          </cell>
          <cell r="BQ11">
            <v>0.91099338271604935</v>
          </cell>
          <cell r="BR11" t="str">
            <v>Above</v>
          </cell>
          <cell r="BS11" t="str">
            <v/>
          </cell>
          <cell r="BT11" t="str">
            <v/>
          </cell>
          <cell r="BV11">
            <v>1</v>
          </cell>
        </row>
        <row r="12">
          <cell r="A12" t="str">
            <v>PH-8218</v>
          </cell>
          <cell r="B12" t="str">
            <v>Social Welfare and Development Reform Project (Additional Financing)</v>
          </cell>
          <cell r="C12" t="b">
            <v>0</v>
          </cell>
          <cell r="D12" t="b">
            <v>0</v>
          </cell>
          <cell r="E12" t="str">
            <v>WB</v>
          </cell>
          <cell r="F12" t="str">
            <v>WB</v>
          </cell>
          <cell r="G12" t="str">
            <v>Program</v>
          </cell>
          <cell r="H12">
            <v>1</v>
          </cell>
          <cell r="J12" t="str">
            <v>B</v>
          </cell>
          <cell r="K12" t="str">
            <v>DSWD</v>
          </cell>
          <cell r="L12" t="str">
            <v>NGA</v>
          </cell>
          <cell r="M12" t="b">
            <v>1</v>
          </cell>
          <cell r="N12" t="str">
            <v>Social Reform and Community Development</v>
          </cell>
          <cell r="O12" t="str">
            <v>Social Welfare and Community Development</v>
          </cell>
          <cell r="P12" t="str">
            <v/>
          </cell>
          <cell r="Q12" t="str">
            <v>NATIONWIDE</v>
          </cell>
          <cell r="R12" t="str">
            <v>Nationwide</v>
          </cell>
          <cell r="S12" t="str">
            <v>Nationwide</v>
          </cell>
          <cell r="T12">
            <v>1536</v>
          </cell>
          <cell r="U12" t="str">
            <v>PH-8218</v>
          </cell>
          <cell r="V12">
            <v>42004</v>
          </cell>
          <cell r="W12">
            <v>42004</v>
          </cell>
          <cell r="X12">
            <v>20</v>
          </cell>
          <cell r="Y12">
            <v>14.97</v>
          </cell>
          <cell r="Z12">
            <v>0</v>
          </cell>
          <cell r="AA12">
            <v>0</v>
          </cell>
          <cell r="AB12">
            <v>34.97</v>
          </cell>
          <cell r="AC12">
            <v>1.78</v>
          </cell>
          <cell r="AD12">
            <v>1.78</v>
          </cell>
          <cell r="AE12">
            <v>13.1</v>
          </cell>
          <cell r="AF12">
            <v>13.1</v>
          </cell>
          <cell r="AG12">
            <v>29.76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99.75</v>
          </cell>
          <cell r="AN12">
            <v>99.75</v>
          </cell>
          <cell r="AO12" t="str">
            <v>117.51%</v>
          </cell>
          <cell r="AP12">
            <v>35.22</v>
          </cell>
          <cell r="AQ12">
            <v>63.63</v>
          </cell>
          <cell r="AR12">
            <v>100</v>
          </cell>
          <cell r="AS12">
            <v>100</v>
          </cell>
          <cell r="AT12">
            <v>0.55349999999999999</v>
          </cell>
          <cell r="AU12">
            <v>28.41</v>
          </cell>
          <cell r="AV12">
            <v>0</v>
          </cell>
          <cell r="AW12" t="str">
            <v>35.06%</v>
          </cell>
          <cell r="AX12">
            <v>41304</v>
          </cell>
          <cell r="AY12">
            <v>42369</v>
          </cell>
          <cell r="BA12">
            <v>42369</v>
          </cell>
          <cell r="BB12">
            <v>41396</v>
          </cell>
          <cell r="BC12">
            <v>2.6659999999999999</v>
          </cell>
          <cell r="BD12">
            <v>1.6659999999999999</v>
          </cell>
          <cell r="BE12">
            <v>-1</v>
          </cell>
          <cell r="BF12">
            <v>0.62490000000000001</v>
          </cell>
          <cell r="BG12">
            <v>0.35220000000000001</v>
          </cell>
          <cell r="BH12">
            <v>64.78</v>
          </cell>
          <cell r="BI12" t="str">
            <v>27.27%</v>
          </cell>
          <cell r="BJ12" t="str">
            <v>Ongoing</v>
          </cell>
          <cell r="BK12" t="str">
            <v>Ongoing</v>
          </cell>
          <cell r="BL12" t="str">
            <v>Continuing from Previous Years</v>
          </cell>
          <cell r="BM12">
            <v>5.2099999999999973</v>
          </cell>
          <cell r="BN12">
            <v>-28.410000000000004</v>
          </cell>
          <cell r="BO12">
            <v>1.1750672043010753</v>
          </cell>
          <cell r="BP12" t="str">
            <v>Above</v>
          </cell>
          <cell r="BQ12">
            <v>0.55351249410655345</v>
          </cell>
          <cell r="BR12" t="str">
            <v>Below</v>
          </cell>
          <cell r="BS12" t="str">
            <v/>
          </cell>
          <cell r="BT12" t="str">
            <v/>
          </cell>
          <cell r="BV12">
            <v>1</v>
          </cell>
        </row>
        <row r="13">
          <cell r="A13" t="str">
            <v>8344-PH</v>
          </cell>
          <cell r="B13" t="str">
            <v>Learning, Equity, and Accountability Program Support (LEAPS)</v>
          </cell>
          <cell r="C13" t="b">
            <v>0</v>
          </cell>
          <cell r="D13" t="b">
            <v>0</v>
          </cell>
          <cell r="E13" t="str">
            <v>WB</v>
          </cell>
          <cell r="F13" t="str">
            <v>WB</v>
          </cell>
          <cell r="G13" t="str">
            <v>Program</v>
          </cell>
          <cell r="H13">
            <v>1</v>
          </cell>
          <cell r="J13" t="str">
            <v>Hybrid</v>
          </cell>
          <cell r="K13" t="str">
            <v>DepEd</v>
          </cell>
          <cell r="L13" t="str">
            <v>NGA</v>
          </cell>
          <cell r="M13" t="b">
            <v>0</v>
          </cell>
          <cell r="N13" t="str">
            <v>Social Reform and Community Development</v>
          </cell>
          <cell r="O13" t="str">
            <v>Education Infrastructure</v>
          </cell>
          <cell r="P13" t="str">
            <v/>
          </cell>
          <cell r="Q13" t="str">
            <v>MULTI-REGIONAL</v>
          </cell>
          <cell r="R13" t="str">
            <v>Multi-Regional</v>
          </cell>
          <cell r="S13" t="str">
            <v>V, VIII, IX, CAR, CARAGA</v>
          </cell>
          <cell r="T13">
            <v>1561</v>
          </cell>
          <cell r="U13" t="str">
            <v>8344-PH</v>
          </cell>
          <cell r="V13">
            <v>42004</v>
          </cell>
          <cell r="W13">
            <v>42004</v>
          </cell>
          <cell r="X13">
            <v>0.75</v>
          </cell>
          <cell r="Y13">
            <v>0</v>
          </cell>
          <cell r="Z13">
            <v>0</v>
          </cell>
          <cell r="AA13">
            <v>0</v>
          </cell>
          <cell r="AB13">
            <v>0.75</v>
          </cell>
          <cell r="AC13">
            <v>0</v>
          </cell>
          <cell r="AD13">
            <v>0</v>
          </cell>
          <cell r="AE13">
            <v>0</v>
          </cell>
          <cell r="AF13">
            <v>15.827999999999999</v>
          </cell>
          <cell r="AG13">
            <v>15.827999999999999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  <cell r="AM13">
            <v>300</v>
          </cell>
          <cell r="AN13">
            <v>300</v>
          </cell>
          <cell r="AO13" t="str">
            <v>4.74%</v>
          </cell>
          <cell r="AP13">
            <v>0.75</v>
          </cell>
          <cell r="AQ13">
            <v>15.827999999999999</v>
          </cell>
          <cell r="AR13">
            <v>300</v>
          </cell>
          <cell r="AS13">
            <v>300</v>
          </cell>
          <cell r="AT13">
            <v>4.7399999999999998E-2</v>
          </cell>
          <cell r="AU13">
            <v>15.077999999999999</v>
          </cell>
          <cell r="AV13">
            <v>0</v>
          </cell>
          <cell r="AW13" t="str">
            <v>0.25%</v>
          </cell>
          <cell r="AX13">
            <v>41739</v>
          </cell>
          <cell r="AY13">
            <v>43343</v>
          </cell>
          <cell r="BA13">
            <v>43343</v>
          </cell>
          <cell r="BB13">
            <v>41814</v>
          </cell>
          <cell r="BC13">
            <v>4.1890000000000001</v>
          </cell>
          <cell r="BD13">
            <v>0.52100000000000002</v>
          </cell>
          <cell r="BE13">
            <v>-3.6680000000000001</v>
          </cell>
          <cell r="BF13">
            <v>0.12429999999999999</v>
          </cell>
          <cell r="BG13">
            <v>2.5000000000000001E-3</v>
          </cell>
          <cell r="BH13">
            <v>299.25</v>
          </cell>
          <cell r="BI13" t="str">
            <v>12.18%</v>
          </cell>
          <cell r="BJ13" t="str">
            <v>Ongoing</v>
          </cell>
          <cell r="BK13" t="str">
            <v>Newly Effective</v>
          </cell>
          <cell r="BL13" t="str">
            <v>Newly-Signed</v>
          </cell>
          <cell r="BM13">
            <v>-15.077999999999999</v>
          </cell>
          <cell r="BN13">
            <v>-15.077999999999999</v>
          </cell>
          <cell r="BO13">
            <v>4.7384382107657316E-2</v>
          </cell>
          <cell r="BP13" t="str">
            <v>Below</v>
          </cell>
          <cell r="BQ13">
            <v>4.7384382107657316E-2</v>
          </cell>
          <cell r="BR13" t="str">
            <v>Below</v>
          </cell>
          <cell r="BS13" t="str">
            <v/>
          </cell>
          <cell r="BT13" t="str">
            <v>New</v>
          </cell>
          <cell r="BU13" t="str">
            <v>New</v>
          </cell>
          <cell r="BV13">
            <v>1</v>
          </cell>
        </row>
        <row r="14">
          <cell r="A14" t="str">
            <v>PH-8085</v>
          </cell>
          <cell r="B14" t="str">
            <v>Disaster Risk Management Development Policy Loan with a Catastrophe Deferred Drawdown Option (CAT-DDO)</v>
          </cell>
          <cell r="C14" t="b">
            <v>0</v>
          </cell>
          <cell r="D14" t="b">
            <v>0</v>
          </cell>
          <cell r="E14" t="str">
            <v>WB</v>
          </cell>
          <cell r="F14" t="str">
            <v>WB</v>
          </cell>
          <cell r="G14" t="str">
            <v>Program</v>
          </cell>
          <cell r="H14">
            <v>1</v>
          </cell>
          <cell r="J14" t="str">
            <v>B</v>
          </cell>
          <cell r="K14" t="str">
            <v>DOF</v>
          </cell>
          <cell r="L14" t="str">
            <v>NGA</v>
          </cell>
          <cell r="M14" t="b">
            <v>0</v>
          </cell>
          <cell r="N14" t="str">
            <v>Social Reform and Community Development</v>
          </cell>
          <cell r="O14" t="str">
            <v>Social Welfare and Community Development</v>
          </cell>
          <cell r="P14" t="str">
            <v/>
          </cell>
          <cell r="Q14" t="str">
            <v>NATIONWIDE</v>
          </cell>
          <cell r="R14" t="str">
            <v>Nationwide</v>
          </cell>
          <cell r="S14" t="str">
            <v>Nationwide</v>
          </cell>
          <cell r="T14">
            <v>1564</v>
          </cell>
          <cell r="U14" t="str">
            <v>PH-8085</v>
          </cell>
          <cell r="V14">
            <v>42004</v>
          </cell>
          <cell r="W14">
            <v>42004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500</v>
          </cell>
          <cell r="AQ14">
            <v>500</v>
          </cell>
          <cell r="AR14">
            <v>500</v>
          </cell>
          <cell r="AS14">
            <v>500</v>
          </cell>
          <cell r="AT14">
            <v>1</v>
          </cell>
          <cell r="AU14">
            <v>0</v>
          </cell>
          <cell r="AV14">
            <v>0</v>
          </cell>
          <cell r="AW14" t="str">
            <v>#Num!</v>
          </cell>
          <cell r="AX14">
            <v>40809</v>
          </cell>
          <cell r="AY14">
            <v>41943</v>
          </cell>
          <cell r="BA14">
            <v>41943</v>
          </cell>
          <cell r="BB14">
            <v>40892</v>
          </cell>
          <cell r="BC14">
            <v>2.879</v>
          </cell>
          <cell r="BD14">
            <v>3.0470000000000002</v>
          </cell>
          <cell r="BE14">
            <v>0.16700000000000001</v>
          </cell>
          <cell r="BF14">
            <v>1.0580000000000001</v>
          </cell>
          <cell r="BG14">
            <v>1</v>
          </cell>
          <cell r="BH14">
            <v>0</v>
          </cell>
          <cell r="BI14" t="str">
            <v>5.80%</v>
          </cell>
          <cell r="BJ14" t="str">
            <v>Closed</v>
          </cell>
          <cell r="BK14" t="str">
            <v>Closed</v>
          </cell>
          <cell r="BL14" t="str">
            <v>Continuing from Previous Years</v>
          </cell>
          <cell r="BM14">
            <v>0</v>
          </cell>
          <cell r="BN14">
            <v>0</v>
          </cell>
          <cell r="BO14">
            <v>0</v>
          </cell>
          <cell r="BP14" t="str">
            <v>Below</v>
          </cell>
          <cell r="BQ14">
            <v>1</v>
          </cell>
          <cell r="BR14" t="str">
            <v>Above</v>
          </cell>
          <cell r="BS14" t="str">
            <v>Closed/Terminated</v>
          </cell>
          <cell r="BT14" t="str">
            <v/>
          </cell>
          <cell r="BU14" t="str">
            <v>Closed/Fully-Availed</v>
          </cell>
          <cell r="BV14">
            <v>1</v>
          </cell>
        </row>
        <row r="15">
          <cell r="A15" t="str">
            <v>8328-PH</v>
          </cell>
          <cell r="B15" t="str">
            <v>Second Development Policy Loan to Foster More Inclusive Growth: Supplemental Financing for Post Typhoon Recovery</v>
          </cell>
          <cell r="C15" t="b">
            <v>0</v>
          </cell>
          <cell r="D15" t="b">
            <v>0</v>
          </cell>
          <cell r="E15" t="str">
            <v>WB</v>
          </cell>
          <cell r="F15" t="str">
            <v>WB</v>
          </cell>
          <cell r="G15" t="str">
            <v>Program</v>
          </cell>
          <cell r="H15">
            <v>1</v>
          </cell>
          <cell r="J15" t="str">
            <v>B</v>
          </cell>
          <cell r="K15" t="str">
            <v>DOF</v>
          </cell>
          <cell r="L15" t="str">
            <v>NGA</v>
          </cell>
          <cell r="M15" t="b">
            <v>0</v>
          </cell>
          <cell r="N15" t="str">
            <v>Governance and Institutions Development</v>
          </cell>
          <cell r="O15" t="str">
            <v>Public Safety and Disaster Management</v>
          </cell>
          <cell r="P15" t="str">
            <v/>
          </cell>
          <cell r="Q15" t="str">
            <v>NATIONWIDE</v>
          </cell>
          <cell r="R15" t="str">
            <v>Nationwide</v>
          </cell>
          <cell r="S15" t="str">
            <v>Nationwide</v>
          </cell>
          <cell r="T15">
            <v>1538</v>
          </cell>
          <cell r="U15" t="str">
            <v>8328-PH</v>
          </cell>
          <cell r="V15">
            <v>42004</v>
          </cell>
          <cell r="W15">
            <v>42004</v>
          </cell>
          <cell r="X15">
            <v>1.25</v>
          </cell>
          <cell r="Y15">
            <v>101.25</v>
          </cell>
          <cell r="Z15">
            <v>98.75</v>
          </cell>
          <cell r="AA15">
            <v>0</v>
          </cell>
          <cell r="AB15">
            <v>201.25</v>
          </cell>
          <cell r="AC15">
            <v>125</v>
          </cell>
          <cell r="AD15">
            <v>125</v>
          </cell>
          <cell r="AE15">
            <v>125</v>
          </cell>
          <cell r="AF15">
            <v>0</v>
          </cell>
          <cell r="AG15">
            <v>201.25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500</v>
          </cell>
          <cell r="AN15">
            <v>500</v>
          </cell>
          <cell r="AO15">
            <v>1</v>
          </cell>
          <cell r="AP15">
            <v>201.25</v>
          </cell>
          <cell r="AQ15">
            <v>201.25</v>
          </cell>
          <cell r="AR15">
            <v>500</v>
          </cell>
          <cell r="AS15">
            <v>500</v>
          </cell>
          <cell r="AT15">
            <v>1</v>
          </cell>
          <cell r="AU15">
            <v>298.75</v>
          </cell>
          <cell r="AV15">
            <v>0</v>
          </cell>
          <cell r="AW15" t="str">
            <v>40.25%</v>
          </cell>
          <cell r="AX15">
            <v>41631</v>
          </cell>
          <cell r="AY15">
            <v>42004</v>
          </cell>
          <cell r="AZ15">
            <v>42185</v>
          </cell>
          <cell r="BA15">
            <v>42185</v>
          </cell>
          <cell r="BB15">
            <v>41709</v>
          </cell>
          <cell r="BC15">
            <v>1.304</v>
          </cell>
          <cell r="BD15">
            <v>0.80800000000000005</v>
          </cell>
          <cell r="BE15">
            <v>-0.496</v>
          </cell>
          <cell r="BF15">
            <v>0.61970000000000003</v>
          </cell>
          <cell r="BG15">
            <v>0.40250000000000002</v>
          </cell>
          <cell r="BH15">
            <v>298.75</v>
          </cell>
          <cell r="BI15" t="str">
            <v>21.72%</v>
          </cell>
          <cell r="BJ15" t="str">
            <v>Ongoing</v>
          </cell>
          <cell r="BK15" t="str">
            <v>Newly Effective</v>
          </cell>
          <cell r="BL15" t="str">
            <v>Newly-Signed</v>
          </cell>
          <cell r="BM15">
            <v>0</v>
          </cell>
          <cell r="BN15">
            <v>0</v>
          </cell>
          <cell r="BO15">
            <v>1</v>
          </cell>
          <cell r="BP15" t="str">
            <v>Above</v>
          </cell>
          <cell r="BQ15">
            <v>1</v>
          </cell>
          <cell r="BR15" t="str">
            <v>Above</v>
          </cell>
          <cell r="BS15" t="str">
            <v/>
          </cell>
          <cell r="BT15" t="str">
            <v/>
          </cell>
          <cell r="BV15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-A"/>
      <sheetName val="3-B "/>
      <sheetName val="3-C "/>
      <sheetName val="3-D"/>
      <sheetName val="3-E "/>
      <sheetName val="3-F "/>
      <sheetName val="3-G "/>
      <sheetName val="3-H "/>
      <sheetName val="3-K"/>
      <sheetName val="3-L"/>
      <sheetName val="3K2"/>
      <sheetName val="3-M"/>
      <sheetName val="3-N"/>
      <sheetName val="3-O"/>
      <sheetName val="3-P"/>
      <sheetName val="3-Q"/>
      <sheetName val="3-R"/>
      <sheetName val="4-A"/>
      <sheetName val="4-B"/>
      <sheetName val="4-C"/>
      <sheetName val="4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R42"/>
  <sheetViews>
    <sheetView tabSelected="1" topLeftCell="A8" zoomScale="115" zoomScaleNormal="115" workbookViewId="0">
      <selection activeCell="G14" sqref="G14"/>
    </sheetView>
  </sheetViews>
  <sheetFormatPr defaultRowHeight="15" customHeight="1" x14ac:dyDescent="0.25"/>
  <cols>
    <col min="1" max="1" width="24" style="93" customWidth="1"/>
    <col min="2" max="2" width="6.7109375" style="93" customWidth="1"/>
    <col min="3" max="3" width="7.7109375" style="94" customWidth="1"/>
    <col min="4" max="4" width="7.7109375" style="95" customWidth="1"/>
    <col min="5" max="6" width="6.7109375" style="93" customWidth="1"/>
    <col min="7" max="7" width="7.85546875" style="93" customWidth="1"/>
    <col min="8" max="8" width="6.7109375" style="93" customWidth="1"/>
    <col min="9" max="9" width="8" style="93" customWidth="1"/>
    <col min="10" max="10" width="6.7109375" style="93" customWidth="1"/>
    <col min="11" max="11" width="7.42578125" style="93" customWidth="1"/>
    <col min="12" max="12" width="6.7109375" style="93" customWidth="1"/>
    <col min="13" max="13" width="7.28515625" style="93" customWidth="1"/>
    <col min="14" max="14" width="6.7109375" style="93" customWidth="1"/>
    <col min="15" max="15" width="8" style="93" customWidth="1"/>
    <col min="16" max="17" width="6.7109375" style="93" customWidth="1"/>
    <col min="18" max="256" width="9.140625" style="93"/>
    <col min="257" max="257" width="19" style="93" customWidth="1"/>
    <col min="258" max="258" width="17.28515625" style="93" customWidth="1"/>
    <col min="259" max="259" width="19.5703125" style="93" customWidth="1"/>
    <col min="260" max="260" width="18.85546875" style="93" customWidth="1"/>
    <col min="261" max="261" width="17.28515625" style="93" customWidth="1"/>
    <col min="262" max="263" width="9.140625" style="93"/>
    <col min="264" max="264" width="20" style="93" bestFit="1" customWidth="1"/>
    <col min="265" max="265" width="11.5703125" style="93" customWidth="1"/>
    <col min="266" max="266" width="11.5703125" style="93" bestFit="1" customWidth="1"/>
    <col min="267" max="267" width="9.140625" style="93"/>
    <col min="268" max="268" width="12.85546875" style="93" bestFit="1" customWidth="1"/>
    <col min="269" max="512" width="9.140625" style="93"/>
    <col min="513" max="513" width="19" style="93" customWidth="1"/>
    <col min="514" max="514" width="17.28515625" style="93" customWidth="1"/>
    <col min="515" max="515" width="19.5703125" style="93" customWidth="1"/>
    <col min="516" max="516" width="18.85546875" style="93" customWidth="1"/>
    <col min="517" max="517" width="17.28515625" style="93" customWidth="1"/>
    <col min="518" max="519" width="9.140625" style="93"/>
    <col min="520" max="520" width="20" style="93" bestFit="1" customWidth="1"/>
    <col min="521" max="521" width="11.5703125" style="93" customWidth="1"/>
    <col min="522" max="522" width="11.5703125" style="93" bestFit="1" customWidth="1"/>
    <col min="523" max="523" width="9.140625" style="93"/>
    <col min="524" max="524" width="12.85546875" style="93" bestFit="1" customWidth="1"/>
    <col min="525" max="768" width="9.140625" style="93"/>
    <col min="769" max="769" width="19" style="93" customWidth="1"/>
    <col min="770" max="770" width="17.28515625" style="93" customWidth="1"/>
    <col min="771" max="771" width="19.5703125" style="93" customWidth="1"/>
    <col min="772" max="772" width="18.85546875" style="93" customWidth="1"/>
    <col min="773" max="773" width="17.28515625" style="93" customWidth="1"/>
    <col min="774" max="775" width="9.140625" style="93"/>
    <col min="776" max="776" width="20" style="93" bestFit="1" customWidth="1"/>
    <col min="777" max="777" width="11.5703125" style="93" customWidth="1"/>
    <col min="778" max="778" width="11.5703125" style="93" bestFit="1" customWidth="1"/>
    <col min="779" max="779" width="9.140625" style="93"/>
    <col min="780" max="780" width="12.85546875" style="93" bestFit="1" customWidth="1"/>
    <col min="781" max="1024" width="9.140625" style="93"/>
    <col min="1025" max="1025" width="19" style="93" customWidth="1"/>
    <col min="1026" max="1026" width="17.28515625" style="93" customWidth="1"/>
    <col min="1027" max="1027" width="19.5703125" style="93" customWidth="1"/>
    <col min="1028" max="1028" width="18.85546875" style="93" customWidth="1"/>
    <col min="1029" max="1029" width="17.28515625" style="93" customWidth="1"/>
    <col min="1030" max="1031" width="9.140625" style="93"/>
    <col min="1032" max="1032" width="20" style="93" bestFit="1" customWidth="1"/>
    <col min="1033" max="1033" width="11.5703125" style="93" customWidth="1"/>
    <col min="1034" max="1034" width="11.5703125" style="93" bestFit="1" customWidth="1"/>
    <col min="1035" max="1035" width="9.140625" style="93"/>
    <col min="1036" max="1036" width="12.85546875" style="93" bestFit="1" customWidth="1"/>
    <col min="1037" max="1280" width="9.140625" style="93"/>
    <col min="1281" max="1281" width="19" style="93" customWidth="1"/>
    <col min="1282" max="1282" width="17.28515625" style="93" customWidth="1"/>
    <col min="1283" max="1283" width="19.5703125" style="93" customWidth="1"/>
    <col min="1284" max="1284" width="18.85546875" style="93" customWidth="1"/>
    <col min="1285" max="1285" width="17.28515625" style="93" customWidth="1"/>
    <col min="1286" max="1287" width="9.140625" style="93"/>
    <col min="1288" max="1288" width="20" style="93" bestFit="1" customWidth="1"/>
    <col min="1289" max="1289" width="11.5703125" style="93" customWidth="1"/>
    <col min="1290" max="1290" width="11.5703125" style="93" bestFit="1" customWidth="1"/>
    <col min="1291" max="1291" width="9.140625" style="93"/>
    <col min="1292" max="1292" width="12.85546875" style="93" bestFit="1" customWidth="1"/>
    <col min="1293" max="1536" width="9.140625" style="93"/>
    <col min="1537" max="1537" width="19" style="93" customWidth="1"/>
    <col min="1538" max="1538" width="17.28515625" style="93" customWidth="1"/>
    <col min="1539" max="1539" width="19.5703125" style="93" customWidth="1"/>
    <col min="1540" max="1540" width="18.85546875" style="93" customWidth="1"/>
    <col min="1541" max="1541" width="17.28515625" style="93" customWidth="1"/>
    <col min="1542" max="1543" width="9.140625" style="93"/>
    <col min="1544" max="1544" width="20" style="93" bestFit="1" customWidth="1"/>
    <col min="1545" max="1545" width="11.5703125" style="93" customWidth="1"/>
    <col min="1546" max="1546" width="11.5703125" style="93" bestFit="1" customWidth="1"/>
    <col min="1547" max="1547" width="9.140625" style="93"/>
    <col min="1548" max="1548" width="12.85546875" style="93" bestFit="1" customWidth="1"/>
    <col min="1549" max="1792" width="9.140625" style="93"/>
    <col min="1793" max="1793" width="19" style="93" customWidth="1"/>
    <col min="1794" max="1794" width="17.28515625" style="93" customWidth="1"/>
    <col min="1795" max="1795" width="19.5703125" style="93" customWidth="1"/>
    <col min="1796" max="1796" width="18.85546875" style="93" customWidth="1"/>
    <col min="1797" max="1797" width="17.28515625" style="93" customWidth="1"/>
    <col min="1798" max="1799" width="9.140625" style="93"/>
    <col min="1800" max="1800" width="20" style="93" bestFit="1" customWidth="1"/>
    <col min="1801" max="1801" width="11.5703125" style="93" customWidth="1"/>
    <col min="1802" max="1802" width="11.5703125" style="93" bestFit="1" customWidth="1"/>
    <col min="1803" max="1803" width="9.140625" style="93"/>
    <col min="1804" max="1804" width="12.85546875" style="93" bestFit="1" customWidth="1"/>
    <col min="1805" max="2048" width="9.140625" style="93"/>
    <col min="2049" max="2049" width="19" style="93" customWidth="1"/>
    <col min="2050" max="2050" width="17.28515625" style="93" customWidth="1"/>
    <col min="2051" max="2051" width="19.5703125" style="93" customWidth="1"/>
    <col min="2052" max="2052" width="18.85546875" style="93" customWidth="1"/>
    <col min="2053" max="2053" width="17.28515625" style="93" customWidth="1"/>
    <col min="2054" max="2055" width="9.140625" style="93"/>
    <col min="2056" max="2056" width="20" style="93" bestFit="1" customWidth="1"/>
    <col min="2057" max="2057" width="11.5703125" style="93" customWidth="1"/>
    <col min="2058" max="2058" width="11.5703125" style="93" bestFit="1" customWidth="1"/>
    <col min="2059" max="2059" width="9.140625" style="93"/>
    <col min="2060" max="2060" width="12.85546875" style="93" bestFit="1" customWidth="1"/>
    <col min="2061" max="2304" width="9.140625" style="93"/>
    <col min="2305" max="2305" width="19" style="93" customWidth="1"/>
    <col min="2306" max="2306" width="17.28515625" style="93" customWidth="1"/>
    <col min="2307" max="2307" width="19.5703125" style="93" customWidth="1"/>
    <col min="2308" max="2308" width="18.85546875" style="93" customWidth="1"/>
    <col min="2309" max="2309" width="17.28515625" style="93" customWidth="1"/>
    <col min="2310" max="2311" width="9.140625" style="93"/>
    <col min="2312" max="2312" width="20" style="93" bestFit="1" customWidth="1"/>
    <col min="2313" max="2313" width="11.5703125" style="93" customWidth="1"/>
    <col min="2314" max="2314" width="11.5703125" style="93" bestFit="1" customWidth="1"/>
    <col min="2315" max="2315" width="9.140625" style="93"/>
    <col min="2316" max="2316" width="12.85546875" style="93" bestFit="1" customWidth="1"/>
    <col min="2317" max="2560" width="9.140625" style="93"/>
    <col min="2561" max="2561" width="19" style="93" customWidth="1"/>
    <col min="2562" max="2562" width="17.28515625" style="93" customWidth="1"/>
    <col min="2563" max="2563" width="19.5703125" style="93" customWidth="1"/>
    <col min="2564" max="2564" width="18.85546875" style="93" customWidth="1"/>
    <col min="2565" max="2565" width="17.28515625" style="93" customWidth="1"/>
    <col min="2566" max="2567" width="9.140625" style="93"/>
    <col min="2568" max="2568" width="20" style="93" bestFit="1" customWidth="1"/>
    <col min="2569" max="2569" width="11.5703125" style="93" customWidth="1"/>
    <col min="2570" max="2570" width="11.5703125" style="93" bestFit="1" customWidth="1"/>
    <col min="2571" max="2571" width="9.140625" style="93"/>
    <col min="2572" max="2572" width="12.85546875" style="93" bestFit="1" customWidth="1"/>
    <col min="2573" max="2816" width="9.140625" style="93"/>
    <col min="2817" max="2817" width="19" style="93" customWidth="1"/>
    <col min="2818" max="2818" width="17.28515625" style="93" customWidth="1"/>
    <col min="2819" max="2819" width="19.5703125" style="93" customWidth="1"/>
    <col min="2820" max="2820" width="18.85546875" style="93" customWidth="1"/>
    <col min="2821" max="2821" width="17.28515625" style="93" customWidth="1"/>
    <col min="2822" max="2823" width="9.140625" style="93"/>
    <col min="2824" max="2824" width="20" style="93" bestFit="1" customWidth="1"/>
    <col min="2825" max="2825" width="11.5703125" style="93" customWidth="1"/>
    <col min="2826" max="2826" width="11.5703125" style="93" bestFit="1" customWidth="1"/>
    <col min="2827" max="2827" width="9.140625" style="93"/>
    <col min="2828" max="2828" width="12.85546875" style="93" bestFit="1" customWidth="1"/>
    <col min="2829" max="3072" width="9.140625" style="93"/>
    <col min="3073" max="3073" width="19" style="93" customWidth="1"/>
    <col min="3074" max="3074" width="17.28515625" style="93" customWidth="1"/>
    <col min="3075" max="3075" width="19.5703125" style="93" customWidth="1"/>
    <col min="3076" max="3076" width="18.85546875" style="93" customWidth="1"/>
    <col min="3077" max="3077" width="17.28515625" style="93" customWidth="1"/>
    <col min="3078" max="3079" width="9.140625" style="93"/>
    <col min="3080" max="3080" width="20" style="93" bestFit="1" customWidth="1"/>
    <col min="3081" max="3081" width="11.5703125" style="93" customWidth="1"/>
    <col min="3082" max="3082" width="11.5703125" style="93" bestFit="1" customWidth="1"/>
    <col min="3083" max="3083" width="9.140625" style="93"/>
    <col min="3084" max="3084" width="12.85546875" style="93" bestFit="1" customWidth="1"/>
    <col min="3085" max="3328" width="9.140625" style="93"/>
    <col min="3329" max="3329" width="19" style="93" customWidth="1"/>
    <col min="3330" max="3330" width="17.28515625" style="93" customWidth="1"/>
    <col min="3331" max="3331" width="19.5703125" style="93" customWidth="1"/>
    <col min="3332" max="3332" width="18.85546875" style="93" customWidth="1"/>
    <col min="3333" max="3333" width="17.28515625" style="93" customWidth="1"/>
    <col min="3334" max="3335" width="9.140625" style="93"/>
    <col min="3336" max="3336" width="20" style="93" bestFit="1" customWidth="1"/>
    <col min="3337" max="3337" width="11.5703125" style="93" customWidth="1"/>
    <col min="3338" max="3338" width="11.5703125" style="93" bestFit="1" customWidth="1"/>
    <col min="3339" max="3339" width="9.140625" style="93"/>
    <col min="3340" max="3340" width="12.85546875" style="93" bestFit="1" customWidth="1"/>
    <col min="3341" max="3584" width="9.140625" style="93"/>
    <col min="3585" max="3585" width="19" style="93" customWidth="1"/>
    <col min="3586" max="3586" width="17.28515625" style="93" customWidth="1"/>
    <col min="3587" max="3587" width="19.5703125" style="93" customWidth="1"/>
    <col min="3588" max="3588" width="18.85546875" style="93" customWidth="1"/>
    <col min="3589" max="3589" width="17.28515625" style="93" customWidth="1"/>
    <col min="3590" max="3591" width="9.140625" style="93"/>
    <col min="3592" max="3592" width="20" style="93" bestFit="1" customWidth="1"/>
    <col min="3593" max="3593" width="11.5703125" style="93" customWidth="1"/>
    <col min="3594" max="3594" width="11.5703125" style="93" bestFit="1" customWidth="1"/>
    <col min="3595" max="3595" width="9.140625" style="93"/>
    <col min="3596" max="3596" width="12.85546875" style="93" bestFit="1" customWidth="1"/>
    <col min="3597" max="3840" width="9.140625" style="93"/>
    <col min="3841" max="3841" width="19" style="93" customWidth="1"/>
    <col min="3842" max="3842" width="17.28515625" style="93" customWidth="1"/>
    <col min="3843" max="3843" width="19.5703125" style="93" customWidth="1"/>
    <col min="3844" max="3844" width="18.85546875" style="93" customWidth="1"/>
    <col min="3845" max="3845" width="17.28515625" style="93" customWidth="1"/>
    <col min="3846" max="3847" width="9.140625" style="93"/>
    <col min="3848" max="3848" width="20" style="93" bestFit="1" customWidth="1"/>
    <col min="3849" max="3849" width="11.5703125" style="93" customWidth="1"/>
    <col min="3850" max="3850" width="11.5703125" style="93" bestFit="1" customWidth="1"/>
    <col min="3851" max="3851" width="9.140625" style="93"/>
    <col min="3852" max="3852" width="12.85546875" style="93" bestFit="1" customWidth="1"/>
    <col min="3853" max="4096" width="9.140625" style="93"/>
    <col min="4097" max="4097" width="19" style="93" customWidth="1"/>
    <col min="4098" max="4098" width="17.28515625" style="93" customWidth="1"/>
    <col min="4099" max="4099" width="19.5703125" style="93" customWidth="1"/>
    <col min="4100" max="4100" width="18.85546875" style="93" customWidth="1"/>
    <col min="4101" max="4101" width="17.28515625" style="93" customWidth="1"/>
    <col min="4102" max="4103" width="9.140625" style="93"/>
    <col min="4104" max="4104" width="20" style="93" bestFit="1" customWidth="1"/>
    <col min="4105" max="4105" width="11.5703125" style="93" customWidth="1"/>
    <col min="4106" max="4106" width="11.5703125" style="93" bestFit="1" customWidth="1"/>
    <col min="4107" max="4107" width="9.140625" style="93"/>
    <col min="4108" max="4108" width="12.85546875" style="93" bestFit="1" customWidth="1"/>
    <col min="4109" max="4352" width="9.140625" style="93"/>
    <col min="4353" max="4353" width="19" style="93" customWidth="1"/>
    <col min="4354" max="4354" width="17.28515625" style="93" customWidth="1"/>
    <col min="4355" max="4355" width="19.5703125" style="93" customWidth="1"/>
    <col min="4356" max="4356" width="18.85546875" style="93" customWidth="1"/>
    <col min="4357" max="4357" width="17.28515625" style="93" customWidth="1"/>
    <col min="4358" max="4359" width="9.140625" style="93"/>
    <col min="4360" max="4360" width="20" style="93" bestFit="1" customWidth="1"/>
    <col min="4361" max="4361" width="11.5703125" style="93" customWidth="1"/>
    <col min="4362" max="4362" width="11.5703125" style="93" bestFit="1" customWidth="1"/>
    <col min="4363" max="4363" width="9.140625" style="93"/>
    <col min="4364" max="4364" width="12.85546875" style="93" bestFit="1" customWidth="1"/>
    <col min="4365" max="4608" width="9.140625" style="93"/>
    <col min="4609" max="4609" width="19" style="93" customWidth="1"/>
    <col min="4610" max="4610" width="17.28515625" style="93" customWidth="1"/>
    <col min="4611" max="4611" width="19.5703125" style="93" customWidth="1"/>
    <col min="4612" max="4612" width="18.85546875" style="93" customWidth="1"/>
    <col min="4613" max="4613" width="17.28515625" style="93" customWidth="1"/>
    <col min="4614" max="4615" width="9.140625" style="93"/>
    <col min="4616" max="4616" width="20" style="93" bestFit="1" customWidth="1"/>
    <col min="4617" max="4617" width="11.5703125" style="93" customWidth="1"/>
    <col min="4618" max="4618" width="11.5703125" style="93" bestFit="1" customWidth="1"/>
    <col min="4619" max="4619" width="9.140625" style="93"/>
    <col min="4620" max="4620" width="12.85546875" style="93" bestFit="1" customWidth="1"/>
    <col min="4621" max="4864" width="9.140625" style="93"/>
    <col min="4865" max="4865" width="19" style="93" customWidth="1"/>
    <col min="4866" max="4866" width="17.28515625" style="93" customWidth="1"/>
    <col min="4867" max="4867" width="19.5703125" style="93" customWidth="1"/>
    <col min="4868" max="4868" width="18.85546875" style="93" customWidth="1"/>
    <col min="4869" max="4869" width="17.28515625" style="93" customWidth="1"/>
    <col min="4870" max="4871" width="9.140625" style="93"/>
    <col min="4872" max="4872" width="20" style="93" bestFit="1" customWidth="1"/>
    <col min="4873" max="4873" width="11.5703125" style="93" customWidth="1"/>
    <col min="4874" max="4874" width="11.5703125" style="93" bestFit="1" customWidth="1"/>
    <col min="4875" max="4875" width="9.140625" style="93"/>
    <col min="4876" max="4876" width="12.85546875" style="93" bestFit="1" customWidth="1"/>
    <col min="4877" max="5120" width="9.140625" style="93"/>
    <col min="5121" max="5121" width="19" style="93" customWidth="1"/>
    <col min="5122" max="5122" width="17.28515625" style="93" customWidth="1"/>
    <col min="5123" max="5123" width="19.5703125" style="93" customWidth="1"/>
    <col min="5124" max="5124" width="18.85546875" style="93" customWidth="1"/>
    <col min="5125" max="5125" width="17.28515625" style="93" customWidth="1"/>
    <col min="5126" max="5127" width="9.140625" style="93"/>
    <col min="5128" max="5128" width="20" style="93" bestFit="1" customWidth="1"/>
    <col min="5129" max="5129" width="11.5703125" style="93" customWidth="1"/>
    <col min="5130" max="5130" width="11.5703125" style="93" bestFit="1" customWidth="1"/>
    <col min="5131" max="5131" width="9.140625" style="93"/>
    <col min="5132" max="5132" width="12.85546875" style="93" bestFit="1" customWidth="1"/>
    <col min="5133" max="5376" width="9.140625" style="93"/>
    <col min="5377" max="5377" width="19" style="93" customWidth="1"/>
    <col min="5378" max="5378" width="17.28515625" style="93" customWidth="1"/>
    <col min="5379" max="5379" width="19.5703125" style="93" customWidth="1"/>
    <col min="5380" max="5380" width="18.85546875" style="93" customWidth="1"/>
    <col min="5381" max="5381" width="17.28515625" style="93" customWidth="1"/>
    <col min="5382" max="5383" width="9.140625" style="93"/>
    <col min="5384" max="5384" width="20" style="93" bestFit="1" customWidth="1"/>
    <col min="5385" max="5385" width="11.5703125" style="93" customWidth="1"/>
    <col min="5386" max="5386" width="11.5703125" style="93" bestFit="1" customWidth="1"/>
    <col min="5387" max="5387" width="9.140625" style="93"/>
    <col min="5388" max="5388" width="12.85546875" style="93" bestFit="1" customWidth="1"/>
    <col min="5389" max="5632" width="9.140625" style="93"/>
    <col min="5633" max="5633" width="19" style="93" customWidth="1"/>
    <col min="5634" max="5634" width="17.28515625" style="93" customWidth="1"/>
    <col min="5635" max="5635" width="19.5703125" style="93" customWidth="1"/>
    <col min="5636" max="5636" width="18.85546875" style="93" customWidth="1"/>
    <col min="5637" max="5637" width="17.28515625" style="93" customWidth="1"/>
    <col min="5638" max="5639" width="9.140625" style="93"/>
    <col min="5640" max="5640" width="20" style="93" bestFit="1" customWidth="1"/>
    <col min="5641" max="5641" width="11.5703125" style="93" customWidth="1"/>
    <col min="5642" max="5642" width="11.5703125" style="93" bestFit="1" customWidth="1"/>
    <col min="5643" max="5643" width="9.140625" style="93"/>
    <col min="5644" max="5644" width="12.85546875" style="93" bestFit="1" customWidth="1"/>
    <col min="5645" max="5888" width="9.140625" style="93"/>
    <col min="5889" max="5889" width="19" style="93" customWidth="1"/>
    <col min="5890" max="5890" width="17.28515625" style="93" customWidth="1"/>
    <col min="5891" max="5891" width="19.5703125" style="93" customWidth="1"/>
    <col min="5892" max="5892" width="18.85546875" style="93" customWidth="1"/>
    <col min="5893" max="5893" width="17.28515625" style="93" customWidth="1"/>
    <col min="5894" max="5895" width="9.140625" style="93"/>
    <col min="5896" max="5896" width="20" style="93" bestFit="1" customWidth="1"/>
    <col min="5897" max="5897" width="11.5703125" style="93" customWidth="1"/>
    <col min="5898" max="5898" width="11.5703125" style="93" bestFit="1" customWidth="1"/>
    <col min="5899" max="5899" width="9.140625" style="93"/>
    <col min="5900" max="5900" width="12.85546875" style="93" bestFit="1" customWidth="1"/>
    <col min="5901" max="6144" width="9.140625" style="93"/>
    <col min="6145" max="6145" width="19" style="93" customWidth="1"/>
    <col min="6146" max="6146" width="17.28515625" style="93" customWidth="1"/>
    <col min="6147" max="6147" width="19.5703125" style="93" customWidth="1"/>
    <col min="6148" max="6148" width="18.85546875" style="93" customWidth="1"/>
    <col min="6149" max="6149" width="17.28515625" style="93" customWidth="1"/>
    <col min="6150" max="6151" width="9.140625" style="93"/>
    <col min="6152" max="6152" width="20" style="93" bestFit="1" customWidth="1"/>
    <col min="6153" max="6153" width="11.5703125" style="93" customWidth="1"/>
    <col min="6154" max="6154" width="11.5703125" style="93" bestFit="1" customWidth="1"/>
    <col min="6155" max="6155" width="9.140625" style="93"/>
    <col min="6156" max="6156" width="12.85546875" style="93" bestFit="1" customWidth="1"/>
    <col min="6157" max="6400" width="9.140625" style="93"/>
    <col min="6401" max="6401" width="19" style="93" customWidth="1"/>
    <col min="6402" max="6402" width="17.28515625" style="93" customWidth="1"/>
    <col min="6403" max="6403" width="19.5703125" style="93" customWidth="1"/>
    <col min="6404" max="6404" width="18.85546875" style="93" customWidth="1"/>
    <col min="6405" max="6405" width="17.28515625" style="93" customWidth="1"/>
    <col min="6406" max="6407" width="9.140625" style="93"/>
    <col min="6408" max="6408" width="20" style="93" bestFit="1" customWidth="1"/>
    <col min="6409" max="6409" width="11.5703125" style="93" customWidth="1"/>
    <col min="6410" max="6410" width="11.5703125" style="93" bestFit="1" customWidth="1"/>
    <col min="6411" max="6411" width="9.140625" style="93"/>
    <col min="6412" max="6412" width="12.85546875" style="93" bestFit="1" customWidth="1"/>
    <col min="6413" max="6656" width="9.140625" style="93"/>
    <col min="6657" max="6657" width="19" style="93" customWidth="1"/>
    <col min="6658" max="6658" width="17.28515625" style="93" customWidth="1"/>
    <col min="6659" max="6659" width="19.5703125" style="93" customWidth="1"/>
    <col min="6660" max="6660" width="18.85546875" style="93" customWidth="1"/>
    <col min="6661" max="6661" width="17.28515625" style="93" customWidth="1"/>
    <col min="6662" max="6663" width="9.140625" style="93"/>
    <col min="6664" max="6664" width="20" style="93" bestFit="1" customWidth="1"/>
    <col min="6665" max="6665" width="11.5703125" style="93" customWidth="1"/>
    <col min="6666" max="6666" width="11.5703125" style="93" bestFit="1" customWidth="1"/>
    <col min="6667" max="6667" width="9.140625" style="93"/>
    <col min="6668" max="6668" width="12.85546875" style="93" bestFit="1" customWidth="1"/>
    <col min="6669" max="6912" width="9.140625" style="93"/>
    <col min="6913" max="6913" width="19" style="93" customWidth="1"/>
    <col min="6914" max="6914" width="17.28515625" style="93" customWidth="1"/>
    <col min="6915" max="6915" width="19.5703125" style="93" customWidth="1"/>
    <col min="6916" max="6916" width="18.85546875" style="93" customWidth="1"/>
    <col min="6917" max="6917" width="17.28515625" style="93" customWidth="1"/>
    <col min="6918" max="6919" width="9.140625" style="93"/>
    <col min="6920" max="6920" width="20" style="93" bestFit="1" customWidth="1"/>
    <col min="6921" max="6921" width="11.5703125" style="93" customWidth="1"/>
    <col min="6922" max="6922" width="11.5703125" style="93" bestFit="1" customWidth="1"/>
    <col min="6923" max="6923" width="9.140625" style="93"/>
    <col min="6924" max="6924" width="12.85546875" style="93" bestFit="1" customWidth="1"/>
    <col min="6925" max="7168" width="9.140625" style="93"/>
    <col min="7169" max="7169" width="19" style="93" customWidth="1"/>
    <col min="7170" max="7170" width="17.28515625" style="93" customWidth="1"/>
    <col min="7171" max="7171" width="19.5703125" style="93" customWidth="1"/>
    <col min="7172" max="7172" width="18.85546875" style="93" customWidth="1"/>
    <col min="7173" max="7173" width="17.28515625" style="93" customWidth="1"/>
    <col min="7174" max="7175" width="9.140625" style="93"/>
    <col min="7176" max="7176" width="20" style="93" bestFit="1" customWidth="1"/>
    <col min="7177" max="7177" width="11.5703125" style="93" customWidth="1"/>
    <col min="7178" max="7178" width="11.5703125" style="93" bestFit="1" customWidth="1"/>
    <col min="7179" max="7179" width="9.140625" style="93"/>
    <col min="7180" max="7180" width="12.85546875" style="93" bestFit="1" customWidth="1"/>
    <col min="7181" max="7424" width="9.140625" style="93"/>
    <col min="7425" max="7425" width="19" style="93" customWidth="1"/>
    <col min="7426" max="7426" width="17.28515625" style="93" customWidth="1"/>
    <col min="7427" max="7427" width="19.5703125" style="93" customWidth="1"/>
    <col min="7428" max="7428" width="18.85546875" style="93" customWidth="1"/>
    <col min="7429" max="7429" width="17.28515625" style="93" customWidth="1"/>
    <col min="7430" max="7431" width="9.140625" style="93"/>
    <col min="7432" max="7432" width="20" style="93" bestFit="1" customWidth="1"/>
    <col min="7433" max="7433" width="11.5703125" style="93" customWidth="1"/>
    <col min="7434" max="7434" width="11.5703125" style="93" bestFit="1" customWidth="1"/>
    <col min="7435" max="7435" width="9.140625" style="93"/>
    <col min="7436" max="7436" width="12.85546875" style="93" bestFit="1" customWidth="1"/>
    <col min="7437" max="7680" width="9.140625" style="93"/>
    <col min="7681" max="7681" width="19" style="93" customWidth="1"/>
    <col min="7682" max="7682" width="17.28515625" style="93" customWidth="1"/>
    <col min="7683" max="7683" width="19.5703125" style="93" customWidth="1"/>
    <col min="7684" max="7684" width="18.85546875" style="93" customWidth="1"/>
    <col min="7685" max="7685" width="17.28515625" style="93" customWidth="1"/>
    <col min="7686" max="7687" width="9.140625" style="93"/>
    <col min="7688" max="7688" width="20" style="93" bestFit="1" customWidth="1"/>
    <col min="7689" max="7689" width="11.5703125" style="93" customWidth="1"/>
    <col min="7690" max="7690" width="11.5703125" style="93" bestFit="1" customWidth="1"/>
    <col min="7691" max="7691" width="9.140625" style="93"/>
    <col min="7692" max="7692" width="12.85546875" style="93" bestFit="1" customWidth="1"/>
    <col min="7693" max="7936" width="9.140625" style="93"/>
    <col min="7937" max="7937" width="19" style="93" customWidth="1"/>
    <col min="7938" max="7938" width="17.28515625" style="93" customWidth="1"/>
    <col min="7939" max="7939" width="19.5703125" style="93" customWidth="1"/>
    <col min="7940" max="7940" width="18.85546875" style="93" customWidth="1"/>
    <col min="7941" max="7941" width="17.28515625" style="93" customWidth="1"/>
    <col min="7942" max="7943" width="9.140625" style="93"/>
    <col min="7944" max="7944" width="20" style="93" bestFit="1" customWidth="1"/>
    <col min="7945" max="7945" width="11.5703125" style="93" customWidth="1"/>
    <col min="7946" max="7946" width="11.5703125" style="93" bestFit="1" customWidth="1"/>
    <col min="7947" max="7947" width="9.140625" style="93"/>
    <col min="7948" max="7948" width="12.85546875" style="93" bestFit="1" customWidth="1"/>
    <col min="7949" max="8192" width="9.140625" style="93"/>
    <col min="8193" max="8193" width="19" style="93" customWidth="1"/>
    <col min="8194" max="8194" width="17.28515625" style="93" customWidth="1"/>
    <col min="8195" max="8195" width="19.5703125" style="93" customWidth="1"/>
    <col min="8196" max="8196" width="18.85546875" style="93" customWidth="1"/>
    <col min="8197" max="8197" width="17.28515625" style="93" customWidth="1"/>
    <col min="8198" max="8199" width="9.140625" style="93"/>
    <col min="8200" max="8200" width="20" style="93" bestFit="1" customWidth="1"/>
    <col min="8201" max="8201" width="11.5703125" style="93" customWidth="1"/>
    <col min="8202" max="8202" width="11.5703125" style="93" bestFit="1" customWidth="1"/>
    <col min="8203" max="8203" width="9.140625" style="93"/>
    <col min="8204" max="8204" width="12.85546875" style="93" bestFit="1" customWidth="1"/>
    <col min="8205" max="8448" width="9.140625" style="93"/>
    <col min="8449" max="8449" width="19" style="93" customWidth="1"/>
    <col min="8450" max="8450" width="17.28515625" style="93" customWidth="1"/>
    <col min="8451" max="8451" width="19.5703125" style="93" customWidth="1"/>
    <col min="8452" max="8452" width="18.85546875" style="93" customWidth="1"/>
    <col min="8453" max="8453" width="17.28515625" style="93" customWidth="1"/>
    <col min="8454" max="8455" width="9.140625" style="93"/>
    <col min="8456" max="8456" width="20" style="93" bestFit="1" customWidth="1"/>
    <col min="8457" max="8457" width="11.5703125" style="93" customWidth="1"/>
    <col min="8458" max="8458" width="11.5703125" style="93" bestFit="1" customWidth="1"/>
    <col min="8459" max="8459" width="9.140625" style="93"/>
    <col min="8460" max="8460" width="12.85546875" style="93" bestFit="1" customWidth="1"/>
    <col min="8461" max="8704" width="9.140625" style="93"/>
    <col min="8705" max="8705" width="19" style="93" customWidth="1"/>
    <col min="8706" max="8706" width="17.28515625" style="93" customWidth="1"/>
    <col min="8707" max="8707" width="19.5703125" style="93" customWidth="1"/>
    <col min="8708" max="8708" width="18.85546875" style="93" customWidth="1"/>
    <col min="8709" max="8709" width="17.28515625" style="93" customWidth="1"/>
    <col min="8710" max="8711" width="9.140625" style="93"/>
    <col min="8712" max="8712" width="20" style="93" bestFit="1" customWidth="1"/>
    <col min="8713" max="8713" width="11.5703125" style="93" customWidth="1"/>
    <col min="8714" max="8714" width="11.5703125" style="93" bestFit="1" customWidth="1"/>
    <col min="8715" max="8715" width="9.140625" style="93"/>
    <col min="8716" max="8716" width="12.85546875" style="93" bestFit="1" customWidth="1"/>
    <col min="8717" max="8960" width="9.140625" style="93"/>
    <col min="8961" max="8961" width="19" style="93" customWidth="1"/>
    <col min="8962" max="8962" width="17.28515625" style="93" customWidth="1"/>
    <col min="8963" max="8963" width="19.5703125" style="93" customWidth="1"/>
    <col min="8964" max="8964" width="18.85546875" style="93" customWidth="1"/>
    <col min="8965" max="8965" width="17.28515625" style="93" customWidth="1"/>
    <col min="8966" max="8967" width="9.140625" style="93"/>
    <col min="8968" max="8968" width="20" style="93" bestFit="1" customWidth="1"/>
    <col min="8969" max="8969" width="11.5703125" style="93" customWidth="1"/>
    <col min="8970" max="8970" width="11.5703125" style="93" bestFit="1" customWidth="1"/>
    <col min="8971" max="8971" width="9.140625" style="93"/>
    <col min="8972" max="8972" width="12.85546875" style="93" bestFit="1" customWidth="1"/>
    <col min="8973" max="9216" width="9.140625" style="93"/>
    <col min="9217" max="9217" width="19" style="93" customWidth="1"/>
    <col min="9218" max="9218" width="17.28515625" style="93" customWidth="1"/>
    <col min="9219" max="9219" width="19.5703125" style="93" customWidth="1"/>
    <col min="9220" max="9220" width="18.85546875" style="93" customWidth="1"/>
    <col min="9221" max="9221" width="17.28515625" style="93" customWidth="1"/>
    <col min="9222" max="9223" width="9.140625" style="93"/>
    <col min="9224" max="9224" width="20" style="93" bestFit="1" customWidth="1"/>
    <col min="9225" max="9225" width="11.5703125" style="93" customWidth="1"/>
    <col min="9226" max="9226" width="11.5703125" style="93" bestFit="1" customWidth="1"/>
    <col min="9227" max="9227" width="9.140625" style="93"/>
    <col min="9228" max="9228" width="12.85546875" style="93" bestFit="1" customWidth="1"/>
    <col min="9229" max="9472" width="9.140625" style="93"/>
    <col min="9473" max="9473" width="19" style="93" customWidth="1"/>
    <col min="9474" max="9474" width="17.28515625" style="93" customWidth="1"/>
    <col min="9475" max="9475" width="19.5703125" style="93" customWidth="1"/>
    <col min="9476" max="9476" width="18.85546875" style="93" customWidth="1"/>
    <col min="9477" max="9477" width="17.28515625" style="93" customWidth="1"/>
    <col min="9478" max="9479" width="9.140625" style="93"/>
    <col min="9480" max="9480" width="20" style="93" bestFit="1" customWidth="1"/>
    <col min="9481" max="9481" width="11.5703125" style="93" customWidth="1"/>
    <col min="9482" max="9482" width="11.5703125" style="93" bestFit="1" customWidth="1"/>
    <col min="9483" max="9483" width="9.140625" style="93"/>
    <col min="9484" max="9484" width="12.85546875" style="93" bestFit="1" customWidth="1"/>
    <col min="9485" max="9728" width="9.140625" style="93"/>
    <col min="9729" max="9729" width="19" style="93" customWidth="1"/>
    <col min="9730" max="9730" width="17.28515625" style="93" customWidth="1"/>
    <col min="9731" max="9731" width="19.5703125" style="93" customWidth="1"/>
    <col min="9732" max="9732" width="18.85546875" style="93" customWidth="1"/>
    <col min="9733" max="9733" width="17.28515625" style="93" customWidth="1"/>
    <col min="9734" max="9735" width="9.140625" style="93"/>
    <col min="9736" max="9736" width="20" style="93" bestFit="1" customWidth="1"/>
    <col min="9737" max="9737" width="11.5703125" style="93" customWidth="1"/>
    <col min="9738" max="9738" width="11.5703125" style="93" bestFit="1" customWidth="1"/>
    <col min="9739" max="9739" width="9.140625" style="93"/>
    <col min="9740" max="9740" width="12.85546875" style="93" bestFit="1" customWidth="1"/>
    <col min="9741" max="9984" width="9.140625" style="93"/>
    <col min="9985" max="9985" width="19" style="93" customWidth="1"/>
    <col min="9986" max="9986" width="17.28515625" style="93" customWidth="1"/>
    <col min="9987" max="9987" width="19.5703125" style="93" customWidth="1"/>
    <col min="9988" max="9988" width="18.85546875" style="93" customWidth="1"/>
    <col min="9989" max="9989" width="17.28515625" style="93" customWidth="1"/>
    <col min="9990" max="9991" width="9.140625" style="93"/>
    <col min="9992" max="9992" width="20" style="93" bestFit="1" customWidth="1"/>
    <col min="9993" max="9993" width="11.5703125" style="93" customWidth="1"/>
    <col min="9994" max="9994" width="11.5703125" style="93" bestFit="1" customWidth="1"/>
    <col min="9995" max="9995" width="9.140625" style="93"/>
    <col min="9996" max="9996" width="12.85546875" style="93" bestFit="1" customWidth="1"/>
    <col min="9997" max="10240" width="9.140625" style="93"/>
    <col min="10241" max="10241" width="19" style="93" customWidth="1"/>
    <col min="10242" max="10242" width="17.28515625" style="93" customWidth="1"/>
    <col min="10243" max="10243" width="19.5703125" style="93" customWidth="1"/>
    <col min="10244" max="10244" width="18.85546875" style="93" customWidth="1"/>
    <col min="10245" max="10245" width="17.28515625" style="93" customWidth="1"/>
    <col min="10246" max="10247" width="9.140625" style="93"/>
    <col min="10248" max="10248" width="20" style="93" bestFit="1" customWidth="1"/>
    <col min="10249" max="10249" width="11.5703125" style="93" customWidth="1"/>
    <col min="10250" max="10250" width="11.5703125" style="93" bestFit="1" customWidth="1"/>
    <col min="10251" max="10251" width="9.140625" style="93"/>
    <col min="10252" max="10252" width="12.85546875" style="93" bestFit="1" customWidth="1"/>
    <col min="10253" max="10496" width="9.140625" style="93"/>
    <col min="10497" max="10497" width="19" style="93" customWidth="1"/>
    <col min="10498" max="10498" width="17.28515625" style="93" customWidth="1"/>
    <col min="10499" max="10499" width="19.5703125" style="93" customWidth="1"/>
    <col min="10500" max="10500" width="18.85546875" style="93" customWidth="1"/>
    <col min="10501" max="10501" width="17.28515625" style="93" customWidth="1"/>
    <col min="10502" max="10503" width="9.140625" style="93"/>
    <col min="10504" max="10504" width="20" style="93" bestFit="1" customWidth="1"/>
    <col min="10505" max="10505" width="11.5703125" style="93" customWidth="1"/>
    <col min="10506" max="10506" width="11.5703125" style="93" bestFit="1" customWidth="1"/>
    <col min="10507" max="10507" width="9.140625" style="93"/>
    <col min="10508" max="10508" width="12.85546875" style="93" bestFit="1" customWidth="1"/>
    <col min="10509" max="10752" width="9.140625" style="93"/>
    <col min="10753" max="10753" width="19" style="93" customWidth="1"/>
    <col min="10754" max="10754" width="17.28515625" style="93" customWidth="1"/>
    <col min="10755" max="10755" width="19.5703125" style="93" customWidth="1"/>
    <col min="10756" max="10756" width="18.85546875" style="93" customWidth="1"/>
    <col min="10757" max="10757" width="17.28515625" style="93" customWidth="1"/>
    <col min="10758" max="10759" width="9.140625" style="93"/>
    <col min="10760" max="10760" width="20" style="93" bestFit="1" customWidth="1"/>
    <col min="10761" max="10761" width="11.5703125" style="93" customWidth="1"/>
    <col min="10762" max="10762" width="11.5703125" style="93" bestFit="1" customWidth="1"/>
    <col min="10763" max="10763" width="9.140625" style="93"/>
    <col min="10764" max="10764" width="12.85546875" style="93" bestFit="1" customWidth="1"/>
    <col min="10765" max="11008" width="9.140625" style="93"/>
    <col min="11009" max="11009" width="19" style="93" customWidth="1"/>
    <col min="11010" max="11010" width="17.28515625" style="93" customWidth="1"/>
    <col min="11011" max="11011" width="19.5703125" style="93" customWidth="1"/>
    <col min="11012" max="11012" width="18.85546875" style="93" customWidth="1"/>
    <col min="11013" max="11013" width="17.28515625" style="93" customWidth="1"/>
    <col min="11014" max="11015" width="9.140625" style="93"/>
    <col min="11016" max="11016" width="20" style="93" bestFit="1" customWidth="1"/>
    <col min="11017" max="11017" width="11.5703125" style="93" customWidth="1"/>
    <col min="11018" max="11018" width="11.5703125" style="93" bestFit="1" customWidth="1"/>
    <col min="11019" max="11019" width="9.140625" style="93"/>
    <col min="11020" max="11020" width="12.85546875" style="93" bestFit="1" customWidth="1"/>
    <col min="11021" max="11264" width="9.140625" style="93"/>
    <col min="11265" max="11265" width="19" style="93" customWidth="1"/>
    <col min="11266" max="11266" width="17.28515625" style="93" customWidth="1"/>
    <col min="11267" max="11267" width="19.5703125" style="93" customWidth="1"/>
    <col min="11268" max="11268" width="18.85546875" style="93" customWidth="1"/>
    <col min="11269" max="11269" width="17.28515625" style="93" customWidth="1"/>
    <col min="11270" max="11271" width="9.140625" style="93"/>
    <col min="11272" max="11272" width="20" style="93" bestFit="1" customWidth="1"/>
    <col min="11273" max="11273" width="11.5703125" style="93" customWidth="1"/>
    <col min="11274" max="11274" width="11.5703125" style="93" bestFit="1" customWidth="1"/>
    <col min="11275" max="11275" width="9.140625" style="93"/>
    <col min="11276" max="11276" width="12.85546875" style="93" bestFit="1" customWidth="1"/>
    <col min="11277" max="11520" width="9.140625" style="93"/>
    <col min="11521" max="11521" width="19" style="93" customWidth="1"/>
    <col min="11522" max="11522" width="17.28515625" style="93" customWidth="1"/>
    <col min="11523" max="11523" width="19.5703125" style="93" customWidth="1"/>
    <col min="11524" max="11524" width="18.85546875" style="93" customWidth="1"/>
    <col min="11525" max="11525" width="17.28515625" style="93" customWidth="1"/>
    <col min="11526" max="11527" width="9.140625" style="93"/>
    <col min="11528" max="11528" width="20" style="93" bestFit="1" customWidth="1"/>
    <col min="11529" max="11529" width="11.5703125" style="93" customWidth="1"/>
    <col min="11530" max="11530" width="11.5703125" style="93" bestFit="1" customWidth="1"/>
    <col min="11531" max="11531" width="9.140625" style="93"/>
    <col min="11532" max="11532" width="12.85546875" style="93" bestFit="1" customWidth="1"/>
    <col min="11533" max="11776" width="9.140625" style="93"/>
    <col min="11777" max="11777" width="19" style="93" customWidth="1"/>
    <col min="11778" max="11778" width="17.28515625" style="93" customWidth="1"/>
    <col min="11779" max="11779" width="19.5703125" style="93" customWidth="1"/>
    <col min="11780" max="11780" width="18.85546875" style="93" customWidth="1"/>
    <col min="11781" max="11781" width="17.28515625" style="93" customWidth="1"/>
    <col min="11782" max="11783" width="9.140625" style="93"/>
    <col min="11784" max="11784" width="20" style="93" bestFit="1" customWidth="1"/>
    <col min="11785" max="11785" width="11.5703125" style="93" customWidth="1"/>
    <col min="11786" max="11786" width="11.5703125" style="93" bestFit="1" customWidth="1"/>
    <col min="11787" max="11787" width="9.140625" style="93"/>
    <col min="11788" max="11788" width="12.85546875" style="93" bestFit="1" customWidth="1"/>
    <col min="11789" max="12032" width="9.140625" style="93"/>
    <col min="12033" max="12033" width="19" style="93" customWidth="1"/>
    <col min="12034" max="12034" width="17.28515625" style="93" customWidth="1"/>
    <col min="12035" max="12035" width="19.5703125" style="93" customWidth="1"/>
    <col min="12036" max="12036" width="18.85546875" style="93" customWidth="1"/>
    <col min="12037" max="12037" width="17.28515625" style="93" customWidth="1"/>
    <col min="12038" max="12039" width="9.140625" style="93"/>
    <col min="12040" max="12040" width="20" style="93" bestFit="1" customWidth="1"/>
    <col min="12041" max="12041" width="11.5703125" style="93" customWidth="1"/>
    <col min="12042" max="12042" width="11.5703125" style="93" bestFit="1" customWidth="1"/>
    <col min="12043" max="12043" width="9.140625" style="93"/>
    <col min="12044" max="12044" width="12.85546875" style="93" bestFit="1" customWidth="1"/>
    <col min="12045" max="12288" width="9.140625" style="93"/>
    <col min="12289" max="12289" width="19" style="93" customWidth="1"/>
    <col min="12290" max="12290" width="17.28515625" style="93" customWidth="1"/>
    <col min="12291" max="12291" width="19.5703125" style="93" customWidth="1"/>
    <col min="12292" max="12292" width="18.85546875" style="93" customWidth="1"/>
    <col min="12293" max="12293" width="17.28515625" style="93" customWidth="1"/>
    <col min="12294" max="12295" width="9.140625" style="93"/>
    <col min="12296" max="12296" width="20" style="93" bestFit="1" customWidth="1"/>
    <col min="12297" max="12297" width="11.5703125" style="93" customWidth="1"/>
    <col min="12298" max="12298" width="11.5703125" style="93" bestFit="1" customWidth="1"/>
    <col min="12299" max="12299" width="9.140625" style="93"/>
    <col min="12300" max="12300" width="12.85546875" style="93" bestFit="1" customWidth="1"/>
    <col min="12301" max="12544" width="9.140625" style="93"/>
    <col min="12545" max="12545" width="19" style="93" customWidth="1"/>
    <col min="12546" max="12546" width="17.28515625" style="93" customWidth="1"/>
    <col min="12547" max="12547" width="19.5703125" style="93" customWidth="1"/>
    <col min="12548" max="12548" width="18.85546875" style="93" customWidth="1"/>
    <col min="12549" max="12549" width="17.28515625" style="93" customWidth="1"/>
    <col min="12550" max="12551" width="9.140625" style="93"/>
    <col min="12552" max="12552" width="20" style="93" bestFit="1" customWidth="1"/>
    <col min="12553" max="12553" width="11.5703125" style="93" customWidth="1"/>
    <col min="12554" max="12554" width="11.5703125" style="93" bestFit="1" customWidth="1"/>
    <col min="12555" max="12555" width="9.140625" style="93"/>
    <col min="12556" max="12556" width="12.85546875" style="93" bestFit="1" customWidth="1"/>
    <col min="12557" max="12800" width="9.140625" style="93"/>
    <col min="12801" max="12801" width="19" style="93" customWidth="1"/>
    <col min="12802" max="12802" width="17.28515625" style="93" customWidth="1"/>
    <col min="12803" max="12803" width="19.5703125" style="93" customWidth="1"/>
    <col min="12804" max="12804" width="18.85546875" style="93" customWidth="1"/>
    <col min="12805" max="12805" width="17.28515625" style="93" customWidth="1"/>
    <col min="12806" max="12807" width="9.140625" style="93"/>
    <col min="12808" max="12808" width="20" style="93" bestFit="1" customWidth="1"/>
    <col min="12809" max="12809" width="11.5703125" style="93" customWidth="1"/>
    <col min="12810" max="12810" width="11.5703125" style="93" bestFit="1" customWidth="1"/>
    <col min="12811" max="12811" width="9.140625" style="93"/>
    <col min="12812" max="12812" width="12.85546875" style="93" bestFit="1" customWidth="1"/>
    <col min="12813" max="13056" width="9.140625" style="93"/>
    <col min="13057" max="13057" width="19" style="93" customWidth="1"/>
    <col min="13058" max="13058" width="17.28515625" style="93" customWidth="1"/>
    <col min="13059" max="13059" width="19.5703125" style="93" customWidth="1"/>
    <col min="13060" max="13060" width="18.85546875" style="93" customWidth="1"/>
    <col min="13061" max="13061" width="17.28515625" style="93" customWidth="1"/>
    <col min="13062" max="13063" width="9.140625" style="93"/>
    <col min="13064" max="13064" width="20" style="93" bestFit="1" customWidth="1"/>
    <col min="13065" max="13065" width="11.5703125" style="93" customWidth="1"/>
    <col min="13066" max="13066" width="11.5703125" style="93" bestFit="1" customWidth="1"/>
    <col min="13067" max="13067" width="9.140625" style="93"/>
    <col min="13068" max="13068" width="12.85546875" style="93" bestFit="1" customWidth="1"/>
    <col min="13069" max="13312" width="9.140625" style="93"/>
    <col min="13313" max="13313" width="19" style="93" customWidth="1"/>
    <col min="13314" max="13314" width="17.28515625" style="93" customWidth="1"/>
    <col min="13315" max="13315" width="19.5703125" style="93" customWidth="1"/>
    <col min="13316" max="13316" width="18.85546875" style="93" customWidth="1"/>
    <col min="13317" max="13317" width="17.28515625" style="93" customWidth="1"/>
    <col min="13318" max="13319" width="9.140625" style="93"/>
    <col min="13320" max="13320" width="20" style="93" bestFit="1" customWidth="1"/>
    <col min="13321" max="13321" width="11.5703125" style="93" customWidth="1"/>
    <col min="13322" max="13322" width="11.5703125" style="93" bestFit="1" customWidth="1"/>
    <col min="13323" max="13323" width="9.140625" style="93"/>
    <col min="13324" max="13324" width="12.85546875" style="93" bestFit="1" customWidth="1"/>
    <col min="13325" max="13568" width="9.140625" style="93"/>
    <col min="13569" max="13569" width="19" style="93" customWidth="1"/>
    <col min="13570" max="13570" width="17.28515625" style="93" customWidth="1"/>
    <col min="13571" max="13571" width="19.5703125" style="93" customWidth="1"/>
    <col min="13572" max="13572" width="18.85546875" style="93" customWidth="1"/>
    <col min="13573" max="13573" width="17.28515625" style="93" customWidth="1"/>
    <col min="13574" max="13575" width="9.140625" style="93"/>
    <col min="13576" max="13576" width="20" style="93" bestFit="1" customWidth="1"/>
    <col min="13577" max="13577" width="11.5703125" style="93" customWidth="1"/>
    <col min="13578" max="13578" width="11.5703125" style="93" bestFit="1" customWidth="1"/>
    <col min="13579" max="13579" width="9.140625" style="93"/>
    <col min="13580" max="13580" width="12.85546875" style="93" bestFit="1" customWidth="1"/>
    <col min="13581" max="13824" width="9.140625" style="93"/>
    <col min="13825" max="13825" width="19" style="93" customWidth="1"/>
    <col min="13826" max="13826" width="17.28515625" style="93" customWidth="1"/>
    <col min="13827" max="13827" width="19.5703125" style="93" customWidth="1"/>
    <col min="13828" max="13828" width="18.85546875" style="93" customWidth="1"/>
    <col min="13829" max="13829" width="17.28515625" style="93" customWidth="1"/>
    <col min="13830" max="13831" width="9.140625" style="93"/>
    <col min="13832" max="13832" width="20" style="93" bestFit="1" customWidth="1"/>
    <col min="13833" max="13833" width="11.5703125" style="93" customWidth="1"/>
    <col min="13834" max="13834" width="11.5703125" style="93" bestFit="1" customWidth="1"/>
    <col min="13835" max="13835" width="9.140625" style="93"/>
    <col min="13836" max="13836" width="12.85546875" style="93" bestFit="1" customWidth="1"/>
    <col min="13837" max="14080" width="9.140625" style="93"/>
    <col min="14081" max="14081" width="19" style="93" customWidth="1"/>
    <col min="14082" max="14082" width="17.28515625" style="93" customWidth="1"/>
    <col min="14083" max="14083" width="19.5703125" style="93" customWidth="1"/>
    <col min="14084" max="14084" width="18.85546875" style="93" customWidth="1"/>
    <col min="14085" max="14085" width="17.28515625" style="93" customWidth="1"/>
    <col min="14086" max="14087" width="9.140625" style="93"/>
    <col min="14088" max="14088" width="20" style="93" bestFit="1" customWidth="1"/>
    <col min="14089" max="14089" width="11.5703125" style="93" customWidth="1"/>
    <col min="14090" max="14090" width="11.5703125" style="93" bestFit="1" customWidth="1"/>
    <col min="14091" max="14091" width="9.140625" style="93"/>
    <col min="14092" max="14092" width="12.85546875" style="93" bestFit="1" customWidth="1"/>
    <col min="14093" max="14336" width="9.140625" style="93"/>
    <col min="14337" max="14337" width="19" style="93" customWidth="1"/>
    <col min="14338" max="14338" width="17.28515625" style="93" customWidth="1"/>
    <col min="14339" max="14339" width="19.5703125" style="93" customWidth="1"/>
    <col min="14340" max="14340" width="18.85546875" style="93" customWidth="1"/>
    <col min="14341" max="14341" width="17.28515625" style="93" customWidth="1"/>
    <col min="14342" max="14343" width="9.140625" style="93"/>
    <col min="14344" max="14344" width="20" style="93" bestFit="1" customWidth="1"/>
    <col min="14345" max="14345" width="11.5703125" style="93" customWidth="1"/>
    <col min="14346" max="14346" width="11.5703125" style="93" bestFit="1" customWidth="1"/>
    <col min="14347" max="14347" width="9.140625" style="93"/>
    <col min="14348" max="14348" width="12.85546875" style="93" bestFit="1" customWidth="1"/>
    <col min="14349" max="14592" width="9.140625" style="93"/>
    <col min="14593" max="14593" width="19" style="93" customWidth="1"/>
    <col min="14594" max="14594" width="17.28515625" style="93" customWidth="1"/>
    <col min="14595" max="14595" width="19.5703125" style="93" customWidth="1"/>
    <col min="14596" max="14596" width="18.85546875" style="93" customWidth="1"/>
    <col min="14597" max="14597" width="17.28515625" style="93" customWidth="1"/>
    <col min="14598" max="14599" width="9.140625" style="93"/>
    <col min="14600" max="14600" width="20" style="93" bestFit="1" customWidth="1"/>
    <col min="14601" max="14601" width="11.5703125" style="93" customWidth="1"/>
    <col min="14602" max="14602" width="11.5703125" style="93" bestFit="1" customWidth="1"/>
    <col min="14603" max="14603" width="9.140625" style="93"/>
    <col min="14604" max="14604" width="12.85546875" style="93" bestFit="1" customWidth="1"/>
    <col min="14605" max="14848" width="9.140625" style="93"/>
    <col min="14849" max="14849" width="19" style="93" customWidth="1"/>
    <col min="14850" max="14850" width="17.28515625" style="93" customWidth="1"/>
    <col min="14851" max="14851" width="19.5703125" style="93" customWidth="1"/>
    <col min="14852" max="14852" width="18.85546875" style="93" customWidth="1"/>
    <col min="14853" max="14853" width="17.28515625" style="93" customWidth="1"/>
    <col min="14854" max="14855" width="9.140625" style="93"/>
    <col min="14856" max="14856" width="20" style="93" bestFit="1" customWidth="1"/>
    <col min="14857" max="14857" width="11.5703125" style="93" customWidth="1"/>
    <col min="14858" max="14858" width="11.5703125" style="93" bestFit="1" customWidth="1"/>
    <col min="14859" max="14859" width="9.140625" style="93"/>
    <col min="14860" max="14860" width="12.85546875" style="93" bestFit="1" customWidth="1"/>
    <col min="14861" max="15104" width="9.140625" style="93"/>
    <col min="15105" max="15105" width="19" style="93" customWidth="1"/>
    <col min="15106" max="15106" width="17.28515625" style="93" customWidth="1"/>
    <col min="15107" max="15107" width="19.5703125" style="93" customWidth="1"/>
    <col min="15108" max="15108" width="18.85546875" style="93" customWidth="1"/>
    <col min="15109" max="15109" width="17.28515625" style="93" customWidth="1"/>
    <col min="15110" max="15111" width="9.140625" style="93"/>
    <col min="15112" max="15112" width="20" style="93" bestFit="1" customWidth="1"/>
    <col min="15113" max="15113" width="11.5703125" style="93" customWidth="1"/>
    <col min="15114" max="15114" width="11.5703125" style="93" bestFit="1" customWidth="1"/>
    <col min="15115" max="15115" width="9.140625" style="93"/>
    <col min="15116" max="15116" width="12.85546875" style="93" bestFit="1" customWidth="1"/>
    <col min="15117" max="15360" width="9.140625" style="93"/>
    <col min="15361" max="15361" width="19" style="93" customWidth="1"/>
    <col min="15362" max="15362" width="17.28515625" style="93" customWidth="1"/>
    <col min="15363" max="15363" width="19.5703125" style="93" customWidth="1"/>
    <col min="15364" max="15364" width="18.85546875" style="93" customWidth="1"/>
    <col min="15365" max="15365" width="17.28515625" style="93" customWidth="1"/>
    <col min="15366" max="15367" width="9.140625" style="93"/>
    <col min="15368" max="15368" width="20" style="93" bestFit="1" customWidth="1"/>
    <col min="15369" max="15369" width="11.5703125" style="93" customWidth="1"/>
    <col min="15370" max="15370" width="11.5703125" style="93" bestFit="1" customWidth="1"/>
    <col min="15371" max="15371" width="9.140625" style="93"/>
    <col min="15372" max="15372" width="12.85546875" style="93" bestFit="1" customWidth="1"/>
    <col min="15373" max="15616" width="9.140625" style="93"/>
    <col min="15617" max="15617" width="19" style="93" customWidth="1"/>
    <col min="15618" max="15618" width="17.28515625" style="93" customWidth="1"/>
    <col min="15619" max="15619" width="19.5703125" style="93" customWidth="1"/>
    <col min="15620" max="15620" width="18.85546875" style="93" customWidth="1"/>
    <col min="15621" max="15621" width="17.28515625" style="93" customWidth="1"/>
    <col min="15622" max="15623" width="9.140625" style="93"/>
    <col min="15624" max="15624" width="20" style="93" bestFit="1" customWidth="1"/>
    <col min="15625" max="15625" width="11.5703125" style="93" customWidth="1"/>
    <col min="15626" max="15626" width="11.5703125" style="93" bestFit="1" customWidth="1"/>
    <col min="15627" max="15627" width="9.140625" style="93"/>
    <col min="15628" max="15628" width="12.85546875" style="93" bestFit="1" customWidth="1"/>
    <col min="15629" max="15872" width="9.140625" style="93"/>
    <col min="15873" max="15873" width="19" style="93" customWidth="1"/>
    <col min="15874" max="15874" width="17.28515625" style="93" customWidth="1"/>
    <col min="15875" max="15875" width="19.5703125" style="93" customWidth="1"/>
    <col min="15876" max="15876" width="18.85546875" style="93" customWidth="1"/>
    <col min="15877" max="15877" width="17.28515625" style="93" customWidth="1"/>
    <col min="15878" max="15879" width="9.140625" style="93"/>
    <col min="15880" max="15880" width="20" style="93" bestFit="1" customWidth="1"/>
    <col min="15881" max="15881" width="11.5703125" style="93" customWidth="1"/>
    <col min="15882" max="15882" width="11.5703125" style="93" bestFit="1" customWidth="1"/>
    <col min="15883" max="15883" width="9.140625" style="93"/>
    <col min="15884" max="15884" width="12.85546875" style="93" bestFit="1" customWidth="1"/>
    <col min="15885" max="16128" width="9.140625" style="93"/>
    <col min="16129" max="16129" width="19" style="93" customWidth="1"/>
    <col min="16130" max="16130" width="17.28515625" style="93" customWidth="1"/>
    <col min="16131" max="16131" width="19.5703125" style="93" customWidth="1"/>
    <col min="16132" max="16132" width="18.85546875" style="93" customWidth="1"/>
    <col min="16133" max="16133" width="17.28515625" style="93" customWidth="1"/>
    <col min="16134" max="16135" width="9.140625" style="93"/>
    <col min="16136" max="16136" width="20" style="93" bestFit="1" customWidth="1"/>
    <col min="16137" max="16137" width="11.5703125" style="93" customWidth="1"/>
    <col min="16138" max="16138" width="11.5703125" style="93" bestFit="1" customWidth="1"/>
    <col min="16139" max="16139" width="9.140625" style="93"/>
    <col min="16140" max="16140" width="12.85546875" style="93" bestFit="1" customWidth="1"/>
    <col min="16141" max="16384" width="9.140625" style="93"/>
  </cols>
  <sheetData>
    <row r="1" spans="1:17" ht="15" customHeight="1" x14ac:dyDescent="0.25">
      <c r="O1" s="96" t="s">
        <v>120</v>
      </c>
      <c r="P1" s="96"/>
      <c r="Q1" s="96"/>
    </row>
    <row r="2" spans="1:17" s="98" customFormat="1" ht="15" customHeight="1" x14ac:dyDescent="0.2">
      <c r="A2" s="97" t="s">
        <v>109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</row>
    <row r="3" spans="1:17" s="98" customFormat="1" ht="15" customHeight="1" x14ac:dyDescent="0.2">
      <c r="A3" s="97" t="s">
        <v>121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</row>
    <row r="4" spans="1:17" s="98" customFormat="1" ht="15" customHeight="1" x14ac:dyDescent="0.2">
      <c r="A4" s="97" t="s">
        <v>122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</row>
    <row r="6" spans="1:17" ht="14.25" customHeight="1" x14ac:dyDescent="0.25">
      <c r="A6" s="99" t="s">
        <v>123</v>
      </c>
      <c r="B6" s="100" t="s">
        <v>124</v>
      </c>
      <c r="C6" s="101"/>
      <c r="D6" s="101"/>
      <c r="E6" s="101"/>
      <c r="F6" s="101"/>
      <c r="G6" s="101"/>
      <c r="H6" s="101"/>
      <c r="I6" s="102"/>
      <c r="J6" s="100" t="s">
        <v>125</v>
      </c>
      <c r="K6" s="101"/>
      <c r="L6" s="101"/>
      <c r="M6" s="101"/>
      <c r="N6" s="101"/>
      <c r="O6" s="102"/>
      <c r="P6" s="103" t="s">
        <v>126</v>
      </c>
      <c r="Q6" s="104"/>
    </row>
    <row r="7" spans="1:17" ht="42" customHeight="1" x14ac:dyDescent="0.25">
      <c r="A7" s="105"/>
      <c r="B7" s="100" t="s">
        <v>127</v>
      </c>
      <c r="C7" s="102"/>
      <c r="D7" s="106" t="s">
        <v>128</v>
      </c>
      <c r="E7" s="107"/>
      <c r="F7" s="106" t="s">
        <v>129</v>
      </c>
      <c r="G7" s="107"/>
      <c r="H7" s="106" t="s">
        <v>13</v>
      </c>
      <c r="I7" s="107"/>
      <c r="J7" s="100" t="s">
        <v>130</v>
      </c>
      <c r="K7" s="102"/>
      <c r="L7" s="100" t="s">
        <v>131</v>
      </c>
      <c r="M7" s="102"/>
      <c r="N7" s="100" t="s">
        <v>13</v>
      </c>
      <c r="O7" s="102"/>
      <c r="P7" s="108"/>
      <c r="Q7" s="109"/>
    </row>
    <row r="8" spans="1:17" ht="13.5" x14ac:dyDescent="0.25">
      <c r="A8" s="110"/>
      <c r="B8" s="111">
        <v>2013</v>
      </c>
      <c r="C8" s="111">
        <v>2014</v>
      </c>
      <c r="D8" s="111">
        <v>2013</v>
      </c>
      <c r="E8" s="111">
        <v>2014</v>
      </c>
      <c r="F8" s="111">
        <v>2013</v>
      </c>
      <c r="G8" s="111">
        <v>2014</v>
      </c>
      <c r="H8" s="111">
        <v>2013</v>
      </c>
      <c r="I8" s="111">
        <v>2014</v>
      </c>
      <c r="J8" s="111">
        <v>2013</v>
      </c>
      <c r="K8" s="111">
        <v>2014</v>
      </c>
      <c r="L8" s="111">
        <v>2013</v>
      </c>
      <c r="M8" s="111">
        <v>2014</v>
      </c>
      <c r="N8" s="111">
        <v>2013</v>
      </c>
      <c r="O8" s="111">
        <v>2014</v>
      </c>
      <c r="P8" s="112">
        <v>2013</v>
      </c>
      <c r="Q8" s="112">
        <v>2014</v>
      </c>
    </row>
    <row r="9" spans="1:17" ht="28.5" x14ac:dyDescent="0.25">
      <c r="A9" s="113" t="s">
        <v>132</v>
      </c>
      <c r="B9" s="114">
        <v>3.0000000000000001E-3</v>
      </c>
      <c r="C9" s="115">
        <v>0.88101800000000008</v>
      </c>
      <c r="D9" s="114">
        <v>0.3</v>
      </c>
      <c r="E9" s="116">
        <v>0</v>
      </c>
      <c r="F9" s="114" t="s">
        <v>89</v>
      </c>
      <c r="G9" s="116">
        <v>0.4</v>
      </c>
      <c r="H9" s="114">
        <v>0.30299999999999999</v>
      </c>
      <c r="I9" s="116">
        <v>1.281018</v>
      </c>
      <c r="J9" s="114">
        <v>0.495</v>
      </c>
      <c r="K9" s="116">
        <v>0.42564740000000006</v>
      </c>
      <c r="L9" s="114">
        <v>5.7000000000000002E-2</v>
      </c>
      <c r="M9" s="116">
        <v>5.9843899999999998E-2</v>
      </c>
      <c r="N9" s="114">
        <v>0.55300000000000005</v>
      </c>
      <c r="O9" s="116">
        <v>0.48549129999999996</v>
      </c>
      <c r="P9" s="117">
        <v>0.85599999999999998</v>
      </c>
      <c r="Q9" s="118">
        <v>1.7665093000000001</v>
      </c>
    </row>
    <row r="10" spans="1:17" ht="14.25" x14ac:dyDescent="0.25">
      <c r="A10" s="119" t="s">
        <v>133</v>
      </c>
      <c r="B10" s="120">
        <v>2.5000000000000001E-4</v>
      </c>
      <c r="C10" s="121">
        <v>0.74399999999999999</v>
      </c>
      <c r="D10" s="120">
        <v>0.3</v>
      </c>
      <c r="E10" s="122">
        <v>0</v>
      </c>
      <c r="F10" s="120" t="s">
        <v>89</v>
      </c>
      <c r="G10" s="122">
        <v>0.4</v>
      </c>
      <c r="H10" s="123">
        <v>0.3</v>
      </c>
      <c r="I10" s="122">
        <v>1.1439999999999999</v>
      </c>
      <c r="J10" s="120">
        <v>0.17199999999999999</v>
      </c>
      <c r="K10" s="122">
        <v>0.13956840000000001</v>
      </c>
      <c r="L10" s="120">
        <v>0.01</v>
      </c>
      <c r="M10" s="122">
        <v>0</v>
      </c>
      <c r="N10" s="124">
        <v>0.182</v>
      </c>
      <c r="O10" s="125">
        <v>0.13956840000000001</v>
      </c>
      <c r="P10" s="126">
        <v>0.48299999999999998</v>
      </c>
      <c r="Q10" s="127">
        <v>1.2835684000000001</v>
      </c>
    </row>
    <row r="11" spans="1:17" ht="14.25" x14ac:dyDescent="0.25">
      <c r="A11" s="119" t="s">
        <v>134</v>
      </c>
      <c r="B11" s="120">
        <v>2.8149999999999998E-3</v>
      </c>
      <c r="C11" s="121">
        <v>0.137018</v>
      </c>
      <c r="D11" s="120" t="s">
        <v>89</v>
      </c>
      <c r="E11" s="122">
        <v>0</v>
      </c>
      <c r="F11" s="120" t="s">
        <v>89</v>
      </c>
      <c r="G11" s="122">
        <v>0</v>
      </c>
      <c r="H11" s="120">
        <v>3.0000000000000001E-3</v>
      </c>
      <c r="I11" s="122">
        <v>0.137018</v>
      </c>
      <c r="J11" s="120">
        <v>0.32300000000000001</v>
      </c>
      <c r="K11" s="122">
        <v>0.28607900000000008</v>
      </c>
      <c r="L11" s="120">
        <v>4.7E-2</v>
      </c>
      <c r="M11" s="122">
        <v>5.9843899999999998E-2</v>
      </c>
      <c r="N11" s="124">
        <v>0.371</v>
      </c>
      <c r="O11" s="125">
        <v>0.34592289999999998</v>
      </c>
      <c r="P11" s="126">
        <v>0.374</v>
      </c>
      <c r="Q11" s="127">
        <v>0.48294089999999995</v>
      </c>
    </row>
    <row r="12" spans="1:17" ht="14.25" x14ac:dyDescent="0.25">
      <c r="A12" s="113" t="s">
        <v>135</v>
      </c>
      <c r="B12" s="114">
        <v>7.37</v>
      </c>
      <c r="C12" s="116">
        <v>107.94580030802521</v>
      </c>
      <c r="D12" s="116">
        <v>100</v>
      </c>
      <c r="E12" s="116">
        <v>0</v>
      </c>
      <c r="F12" s="114" t="s">
        <v>89</v>
      </c>
      <c r="G12" s="116">
        <v>100</v>
      </c>
      <c r="H12" s="114">
        <v>88.73</v>
      </c>
      <c r="I12" s="116">
        <v>105.33240911815567</v>
      </c>
      <c r="J12" s="114">
        <v>48.48</v>
      </c>
      <c r="K12" s="116">
        <v>42.368799133089155</v>
      </c>
      <c r="L12" s="128">
        <v>60.13</v>
      </c>
      <c r="M12" s="129">
        <v>60.081824023131603</v>
      </c>
      <c r="N12" s="114">
        <v>50.96</v>
      </c>
      <c r="O12" s="116">
        <v>43.966555296314759</v>
      </c>
      <c r="P12" s="117">
        <v>60.01</v>
      </c>
      <c r="Q12" s="118">
        <v>76.129659181183186</v>
      </c>
    </row>
    <row r="13" spans="1:17" ht="14.25" x14ac:dyDescent="0.25">
      <c r="A13" s="119" t="s">
        <v>133</v>
      </c>
      <c r="B13" s="120">
        <v>0.63</v>
      </c>
      <c r="C13" s="122">
        <v>98.013642866740966</v>
      </c>
      <c r="D13" s="122">
        <v>100</v>
      </c>
      <c r="E13" s="122">
        <v>0</v>
      </c>
      <c r="F13" s="120" t="s">
        <v>89</v>
      </c>
      <c r="G13" s="122">
        <v>100</v>
      </c>
      <c r="H13" s="120">
        <v>88.43</v>
      </c>
      <c r="I13" s="122">
        <v>98.699138453149843</v>
      </c>
      <c r="J13" s="120">
        <v>83.52</v>
      </c>
      <c r="K13" s="122">
        <v>105.79474886061078</v>
      </c>
      <c r="L13" s="130">
        <v>51.89</v>
      </c>
      <c r="M13" s="131">
        <v>0</v>
      </c>
      <c r="N13" s="120">
        <v>80.709999999999994</v>
      </c>
      <c r="O13" s="122">
        <v>105.79474886061078</v>
      </c>
      <c r="P13" s="126">
        <v>85.34</v>
      </c>
      <c r="Q13" s="127">
        <v>99.424218441222109</v>
      </c>
    </row>
    <row r="14" spans="1:17" ht="14.25" x14ac:dyDescent="0.25">
      <c r="A14" s="119" t="s">
        <v>134</v>
      </c>
      <c r="B14" s="120">
        <v>138.66999999999999</v>
      </c>
      <c r="C14" s="122">
        <v>240.00770726409644</v>
      </c>
      <c r="D14" s="122" t="s">
        <v>89</v>
      </c>
      <c r="E14" s="122">
        <v>0</v>
      </c>
      <c r="F14" s="120" t="s">
        <v>89</v>
      </c>
      <c r="G14" s="122">
        <v>0</v>
      </c>
      <c r="H14" s="120">
        <v>138.66999999999999</v>
      </c>
      <c r="I14" s="122">
        <v>240.00770726409644</v>
      </c>
      <c r="J14" s="120">
        <v>40.28</v>
      </c>
      <c r="K14" s="122">
        <v>32.780876013763709</v>
      </c>
      <c r="L14" s="130">
        <v>84.44</v>
      </c>
      <c r="M14" s="131">
        <v>60.081824023131603</v>
      </c>
      <c r="N14" s="120">
        <v>43.13</v>
      </c>
      <c r="O14" s="122">
        <v>35.577615622424609</v>
      </c>
      <c r="P14" s="126">
        <v>43.36</v>
      </c>
      <c r="Q14" s="127">
        <v>46.9150730347246</v>
      </c>
    </row>
    <row r="15" spans="1:17" ht="14.25" x14ac:dyDescent="0.25">
      <c r="A15" s="113" t="s">
        <v>136</v>
      </c>
      <c r="B15" s="114">
        <v>18.41</v>
      </c>
      <c r="C15" s="116">
        <v>105.03852724925098</v>
      </c>
      <c r="D15" s="116">
        <v>100</v>
      </c>
      <c r="E15" s="116">
        <v>0</v>
      </c>
      <c r="F15" s="114" t="s">
        <v>89</v>
      </c>
      <c r="G15" s="116">
        <v>100</v>
      </c>
      <c r="H15" s="114">
        <v>95.71</v>
      </c>
      <c r="I15" s="116">
        <v>103.41156498005661</v>
      </c>
      <c r="J15" s="114">
        <v>71.180000000000007</v>
      </c>
      <c r="K15" s="116">
        <v>64.776603540841577</v>
      </c>
      <c r="L15" s="128">
        <v>96.55</v>
      </c>
      <c r="M15" s="129">
        <v>99.738629939785511</v>
      </c>
      <c r="N15" s="114">
        <v>74.62</v>
      </c>
      <c r="O15" s="116">
        <v>77.423734603141725</v>
      </c>
      <c r="P15" s="117">
        <v>76.34</v>
      </c>
      <c r="Q15" s="118">
        <v>83.017250263407377</v>
      </c>
    </row>
    <row r="16" spans="1:17" ht="14.25" x14ac:dyDescent="0.25">
      <c r="A16" s="119" t="s">
        <v>133</v>
      </c>
      <c r="B16" s="120">
        <v>2.21</v>
      </c>
      <c r="C16" s="122">
        <v>98.013642866740966</v>
      </c>
      <c r="D16" s="122">
        <v>100</v>
      </c>
      <c r="E16" s="122">
        <v>0</v>
      </c>
      <c r="F16" s="124" t="s">
        <v>89</v>
      </c>
      <c r="G16" s="125">
        <v>100</v>
      </c>
      <c r="H16" s="120">
        <v>96.44</v>
      </c>
      <c r="I16" s="122">
        <v>98.699138453149843</v>
      </c>
      <c r="J16" s="120">
        <v>103.05</v>
      </c>
      <c r="K16" s="122">
        <v>94.299913316859218</v>
      </c>
      <c r="L16" s="130">
        <v>100</v>
      </c>
      <c r="M16" s="131">
        <v>100</v>
      </c>
      <c r="N16" s="120">
        <v>102.82</v>
      </c>
      <c r="O16" s="122">
        <v>97.328007665856006</v>
      </c>
      <c r="P16" s="132">
        <v>102.46</v>
      </c>
      <c r="Q16" s="127">
        <v>97.893989489833842</v>
      </c>
    </row>
    <row r="17" spans="1:18" ht="14.25" x14ac:dyDescent="0.25">
      <c r="A17" s="119" t="s">
        <v>134</v>
      </c>
      <c r="B17" s="120">
        <v>52.82</v>
      </c>
      <c r="C17" s="122">
        <v>171.96249952936157</v>
      </c>
      <c r="D17" s="122" t="s">
        <v>89</v>
      </c>
      <c r="E17" s="122">
        <v>0</v>
      </c>
      <c r="F17" s="124" t="s">
        <v>89</v>
      </c>
      <c r="G17" s="125">
        <v>0</v>
      </c>
      <c r="H17" s="120">
        <v>52.82</v>
      </c>
      <c r="I17" s="122">
        <v>171.96249952936157</v>
      </c>
      <c r="J17" s="120">
        <v>63.24</v>
      </c>
      <c r="K17" s="122">
        <v>53.960831175577574</v>
      </c>
      <c r="L17" s="120">
        <v>96.13</v>
      </c>
      <c r="M17" s="122">
        <v>99.436546921304796</v>
      </c>
      <c r="N17" s="120">
        <v>68.05</v>
      </c>
      <c r="O17" s="122">
        <v>65.979244534938445</v>
      </c>
      <c r="P17" s="126">
        <v>70.599999999999994</v>
      </c>
      <c r="Q17" s="127">
        <v>68.84436336345712</v>
      </c>
    </row>
    <row r="18" spans="1:18" ht="14.25" x14ac:dyDescent="0.25">
      <c r="A18" s="113" t="s">
        <v>137</v>
      </c>
      <c r="B18" s="114">
        <v>1.53</v>
      </c>
      <c r="C18" s="116">
        <v>28.557305334564198</v>
      </c>
      <c r="D18" s="116">
        <v>100</v>
      </c>
      <c r="E18" s="116">
        <v>0</v>
      </c>
      <c r="F18" s="114" t="s">
        <v>89</v>
      </c>
      <c r="G18" s="116">
        <v>100</v>
      </c>
      <c r="H18" s="114">
        <v>20.76</v>
      </c>
      <c r="I18" s="116">
        <v>36.757120623639914</v>
      </c>
      <c r="J18" s="114">
        <v>11.83</v>
      </c>
      <c r="K18" s="116">
        <v>14.76526843536457</v>
      </c>
      <c r="L18" s="128">
        <v>27.37</v>
      </c>
      <c r="M18" s="129">
        <v>76.481737085601821</v>
      </c>
      <c r="N18" s="114">
        <v>12.89</v>
      </c>
      <c r="O18" s="116">
        <v>11.687267198344543</v>
      </c>
      <c r="P18" s="133">
        <v>15.29</v>
      </c>
      <c r="Q18" s="134">
        <v>23.12455238550789</v>
      </c>
    </row>
    <row r="19" spans="1:18" ht="14.25" x14ac:dyDescent="0.25">
      <c r="A19" s="119" t="s">
        <v>133</v>
      </c>
      <c r="B19" s="120">
        <v>0.25</v>
      </c>
      <c r="C19" s="122">
        <v>41.641713355012392</v>
      </c>
      <c r="D19" s="125">
        <v>100</v>
      </c>
      <c r="E19" s="125">
        <v>0</v>
      </c>
      <c r="F19" s="124" t="s">
        <v>89</v>
      </c>
      <c r="G19" s="125">
        <v>100</v>
      </c>
      <c r="H19" s="120">
        <v>75.06</v>
      </c>
      <c r="I19" s="122">
        <v>52.316993419217347</v>
      </c>
      <c r="J19" s="120">
        <v>44.26</v>
      </c>
      <c r="K19" s="122">
        <v>44.214087719576128</v>
      </c>
      <c r="L19" s="130">
        <v>69.290000000000006</v>
      </c>
      <c r="M19" s="131">
        <v>0</v>
      </c>
      <c r="N19" s="120">
        <v>45.19</v>
      </c>
      <c r="O19" s="122">
        <v>44.214087719576128</v>
      </c>
      <c r="P19" s="126">
        <v>60.38</v>
      </c>
      <c r="Q19" s="127">
        <v>51.29482663192578</v>
      </c>
    </row>
    <row r="20" spans="1:18" ht="14.25" x14ac:dyDescent="0.25">
      <c r="A20" s="119" t="s">
        <v>134</v>
      </c>
      <c r="B20" s="120">
        <v>2.82</v>
      </c>
      <c r="C20" s="122">
        <v>10.552687963352325</v>
      </c>
      <c r="D20" s="122" t="s">
        <v>89</v>
      </c>
      <c r="E20" s="122">
        <v>0</v>
      </c>
      <c r="F20" s="124" t="s">
        <v>89</v>
      </c>
      <c r="G20" s="125">
        <v>0</v>
      </c>
      <c r="H20" s="120">
        <v>2.82</v>
      </c>
      <c r="I20" s="122">
        <v>10.552687963352325</v>
      </c>
      <c r="J20" s="120">
        <v>8.77</v>
      </c>
      <c r="K20" s="122">
        <v>7.6082655072673466</v>
      </c>
      <c r="L20" s="130">
        <v>24.13</v>
      </c>
      <c r="M20" s="131">
        <v>76.481737085601821</v>
      </c>
      <c r="N20" s="120">
        <v>9.5399999999999991</v>
      </c>
      <c r="O20" s="122">
        <v>9.0122719269770322</v>
      </c>
      <c r="P20" s="126">
        <v>7.78</v>
      </c>
      <c r="Q20" s="127">
        <v>9.4016417314219893</v>
      </c>
    </row>
    <row r="21" spans="1:18" ht="13.5" x14ac:dyDescent="0.25">
      <c r="A21" s="135"/>
      <c r="B21" s="136"/>
      <c r="C21" s="137"/>
      <c r="E21" s="138"/>
      <c r="L21" s="139"/>
    </row>
    <row r="22" spans="1:18" ht="13.5" x14ac:dyDescent="0.25">
      <c r="A22" s="140"/>
      <c r="B22" s="141"/>
      <c r="E22" s="138"/>
    </row>
    <row r="23" spans="1:18" ht="13.5" x14ac:dyDescent="0.25">
      <c r="A23" s="142"/>
      <c r="B23" s="142"/>
    </row>
    <row r="24" spans="1:18" ht="13.5" x14ac:dyDescent="0.25">
      <c r="A24" s="142"/>
      <c r="B24" s="142"/>
    </row>
    <row r="25" spans="1:18" ht="13.5" x14ac:dyDescent="0.25">
      <c r="A25" s="142"/>
      <c r="B25" s="142"/>
      <c r="C25" s="143"/>
      <c r="D25" s="143"/>
      <c r="E25" s="143"/>
      <c r="F25" s="143"/>
      <c r="G25" s="143"/>
      <c r="H25" s="143"/>
      <c r="I25" s="143"/>
      <c r="J25" s="144"/>
      <c r="K25" s="144"/>
      <c r="O25" s="138"/>
      <c r="R25" s="95"/>
    </row>
    <row r="26" spans="1:18" ht="13.5" x14ac:dyDescent="0.25">
      <c r="A26" s="142"/>
      <c r="B26" s="142"/>
      <c r="C26" s="143"/>
      <c r="D26" s="143"/>
      <c r="E26" s="143"/>
      <c r="F26" s="143"/>
      <c r="G26" s="143"/>
      <c r="H26" s="143"/>
      <c r="I26" s="143"/>
      <c r="J26" s="144"/>
      <c r="K26" s="144"/>
      <c r="O26" s="138"/>
      <c r="R26" s="95"/>
    </row>
    <row r="27" spans="1:18" ht="13.5" x14ac:dyDescent="0.25"/>
    <row r="29" spans="1:18" ht="13.5" x14ac:dyDescent="0.25">
      <c r="H29" s="143"/>
      <c r="I29" s="143"/>
      <c r="J29" s="143"/>
      <c r="K29" s="143"/>
    </row>
    <row r="30" spans="1:18" ht="13.5" x14ac:dyDescent="0.25">
      <c r="H30" s="143"/>
      <c r="I30" s="143"/>
      <c r="J30" s="145"/>
      <c r="K30" s="145"/>
    </row>
    <row r="31" spans="1:18" ht="13.5" x14ac:dyDescent="0.25">
      <c r="H31" s="143"/>
      <c r="I31" s="143"/>
      <c r="J31" s="137"/>
      <c r="K31" s="146"/>
    </row>
    <row r="32" spans="1:18" ht="13.5" x14ac:dyDescent="0.25">
      <c r="C32" s="93"/>
      <c r="D32" s="93"/>
      <c r="H32" s="143"/>
      <c r="I32" s="143"/>
      <c r="J32" s="145"/>
      <c r="K32" s="147"/>
    </row>
    <row r="33" spans="3:11" ht="13.5" x14ac:dyDescent="0.25">
      <c r="C33" s="93"/>
      <c r="D33" s="93"/>
      <c r="H33" s="143"/>
      <c r="I33" s="143"/>
      <c r="J33" s="147"/>
      <c r="K33" s="147"/>
    </row>
    <row r="34" spans="3:11" ht="13.5" x14ac:dyDescent="0.25">
      <c r="C34" s="93"/>
      <c r="D34" s="93"/>
      <c r="H34" s="143"/>
      <c r="I34" s="143"/>
      <c r="J34" s="145"/>
      <c r="K34" s="145"/>
    </row>
    <row r="35" spans="3:11" ht="13.5" x14ac:dyDescent="0.25">
      <c r="C35" s="93"/>
      <c r="D35" s="93"/>
      <c r="H35" s="143"/>
      <c r="I35" s="143"/>
      <c r="J35" s="146"/>
      <c r="K35" s="146"/>
    </row>
    <row r="36" spans="3:11" ht="13.5" x14ac:dyDescent="0.25">
      <c r="C36" s="93"/>
      <c r="D36" s="93"/>
      <c r="H36" s="143"/>
      <c r="I36" s="143"/>
      <c r="J36" s="145"/>
      <c r="K36" s="145"/>
    </row>
    <row r="37" spans="3:11" ht="13.5" x14ac:dyDescent="0.25">
      <c r="C37" s="93"/>
      <c r="D37" s="93"/>
      <c r="H37" s="143"/>
      <c r="I37" s="143"/>
      <c r="J37" s="148"/>
      <c r="K37" s="148"/>
    </row>
    <row r="38" spans="3:11" ht="13.5" x14ac:dyDescent="0.25">
      <c r="C38" s="93"/>
      <c r="D38" s="93"/>
      <c r="H38" s="143"/>
      <c r="I38" s="143"/>
      <c r="J38" s="145"/>
      <c r="K38" s="145"/>
    </row>
    <row r="39" spans="3:11" ht="13.5" x14ac:dyDescent="0.25">
      <c r="C39" s="93"/>
      <c r="D39" s="93"/>
      <c r="H39" s="143"/>
      <c r="I39" s="143"/>
      <c r="J39" s="149"/>
      <c r="K39" s="146"/>
    </row>
    <row r="40" spans="3:11" ht="13.5" x14ac:dyDescent="0.25">
      <c r="C40" s="93"/>
      <c r="D40" s="93"/>
      <c r="H40" s="143"/>
      <c r="I40" s="143"/>
      <c r="J40" s="137"/>
      <c r="K40" s="137"/>
    </row>
    <row r="41" spans="3:11" ht="13.5" x14ac:dyDescent="0.25">
      <c r="C41" s="93"/>
      <c r="D41" s="93"/>
      <c r="H41" s="143"/>
      <c r="I41" s="143"/>
      <c r="J41" s="137"/>
      <c r="K41" s="137"/>
    </row>
    <row r="42" spans="3:11" ht="13.5" x14ac:dyDescent="0.25">
      <c r="C42" s="93"/>
      <c r="D42" s="93"/>
      <c r="H42" s="143"/>
      <c r="I42" s="143"/>
      <c r="J42" s="143"/>
      <c r="K42" s="143"/>
    </row>
  </sheetData>
  <mergeCells count="15">
    <mergeCell ref="F7:G7"/>
    <mergeCell ref="H7:I7"/>
    <mergeCell ref="J7:K7"/>
    <mergeCell ref="L7:M7"/>
    <mergeCell ref="N7:O7"/>
    <mergeCell ref="O1:Q1"/>
    <mergeCell ref="A2:Q2"/>
    <mergeCell ref="A3:Q3"/>
    <mergeCell ref="A4:Q4"/>
    <mergeCell ref="A6:A8"/>
    <mergeCell ref="B6:I6"/>
    <mergeCell ref="J6:O6"/>
    <mergeCell ref="P6:Q7"/>
    <mergeCell ref="B7:C7"/>
    <mergeCell ref="D7:E7"/>
  </mergeCells>
  <printOptions horizontalCentered="1"/>
  <pageMargins left="0.7" right="0.83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opLeftCell="B7" workbookViewId="0">
      <selection activeCell="G14" sqref="G14"/>
    </sheetView>
  </sheetViews>
  <sheetFormatPr defaultRowHeight="13.5" x14ac:dyDescent="0.25"/>
  <cols>
    <col min="1" max="1" width="0" style="150" hidden="1" customWidth="1"/>
    <col min="2" max="2" width="34.85546875" style="150" customWidth="1"/>
    <col min="3" max="3" width="15.7109375" style="152" customWidth="1"/>
    <col min="4" max="4" width="10.7109375" style="152" customWidth="1"/>
    <col min="5" max="5" width="14.7109375" style="152" customWidth="1"/>
    <col min="6" max="6" width="13.28515625" style="153" customWidth="1"/>
    <col min="7" max="7" width="12.7109375" style="154" customWidth="1"/>
    <col min="8" max="8" width="12.85546875" style="154" customWidth="1"/>
    <col min="9" max="10" width="10.7109375" style="154" customWidth="1"/>
    <col min="11" max="11" width="10.7109375" style="153" customWidth="1"/>
    <col min="12" max="12" width="15.5703125" style="152" customWidth="1"/>
    <col min="13" max="16384" width="9.140625" style="150"/>
  </cols>
  <sheetData>
    <row r="1" spans="1:12" x14ac:dyDescent="0.25">
      <c r="B1" s="151"/>
      <c r="L1" s="155" t="s">
        <v>138</v>
      </c>
    </row>
    <row r="2" spans="1:12" x14ac:dyDescent="0.25">
      <c r="B2" s="156" t="s">
        <v>109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1:12" x14ac:dyDescent="0.25">
      <c r="B3" s="157" t="s">
        <v>139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</row>
    <row r="4" spans="1:12" ht="15" customHeight="1" x14ac:dyDescent="0.25">
      <c r="B4" s="157" t="s">
        <v>114</v>
      </c>
      <c r="C4" s="157"/>
      <c r="D4" s="157"/>
      <c r="E4" s="157"/>
      <c r="F4" s="157"/>
      <c r="G4" s="157"/>
      <c r="H4" s="157"/>
      <c r="I4" s="157"/>
      <c r="J4" s="157"/>
      <c r="K4" s="157"/>
      <c r="L4" s="157"/>
    </row>
    <row r="5" spans="1:12" x14ac:dyDescent="0.25"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</row>
    <row r="6" spans="1:12" ht="30" customHeight="1" x14ac:dyDescent="0.25">
      <c r="B6" s="159" t="s">
        <v>140</v>
      </c>
      <c r="C6" s="159" t="s">
        <v>141</v>
      </c>
      <c r="D6" s="159" t="s">
        <v>142</v>
      </c>
      <c r="E6" s="159" t="s">
        <v>84</v>
      </c>
      <c r="F6" s="159" t="s">
        <v>143</v>
      </c>
      <c r="G6" s="160" t="s">
        <v>144</v>
      </c>
      <c r="H6" s="160" t="s">
        <v>145</v>
      </c>
      <c r="I6" s="161" t="s">
        <v>146</v>
      </c>
      <c r="J6" s="162"/>
      <c r="K6" s="159" t="s">
        <v>147</v>
      </c>
      <c r="L6" s="159" t="s">
        <v>148</v>
      </c>
    </row>
    <row r="7" spans="1:12" ht="30" customHeight="1" x14ac:dyDescent="0.25">
      <c r="B7" s="163"/>
      <c r="C7" s="163"/>
      <c r="D7" s="163"/>
      <c r="E7" s="163"/>
      <c r="F7" s="163"/>
      <c r="G7" s="164"/>
      <c r="H7" s="164"/>
      <c r="I7" s="165" t="s">
        <v>149</v>
      </c>
      <c r="J7" s="165" t="s">
        <v>150</v>
      </c>
      <c r="K7" s="163"/>
      <c r="L7" s="163"/>
    </row>
    <row r="8" spans="1:12" x14ac:dyDescent="0.25">
      <c r="A8" s="166" t="s">
        <v>151</v>
      </c>
      <c r="B8" s="167" t="str">
        <f>VLOOKUP($A8,[2]LoanProjectFinInfo2!$A$2:$BV$15,2,FALSE)</f>
        <v>Social Protection Support Project</v>
      </c>
      <c r="C8" s="168" t="s">
        <v>152</v>
      </c>
      <c r="D8" s="167" t="str">
        <f>VLOOKUP($A8,[2]LoanProjectFinInfo2!$A$2:$BV$15,6,FALSE)</f>
        <v>ADB</v>
      </c>
      <c r="E8" s="167" t="str">
        <f>VLOOKUP($A8,[2]LoanProjectFinInfo2!$A$2:$BV$15,11,FALSE)</f>
        <v>DSWD</v>
      </c>
      <c r="F8" s="169">
        <f>VLOOKUP($A8,[2]LoanProjectFinInfo2!$A$2:$BV$15,44,FALSE)</f>
        <v>400</v>
      </c>
      <c r="G8" s="170">
        <f>VLOOKUP($A8,[2]LoanProjectFinInfo2!$A$2:$BV$15,50,FALSE)</f>
        <v>40435</v>
      </c>
      <c r="H8" s="170">
        <f>VLOOKUP($A8,[2]LoanProjectFinInfo2!$A$2:$BV$15,54,FALSE)</f>
        <v>40555</v>
      </c>
      <c r="I8" s="170">
        <f>VLOOKUP($A8,[2]LoanProjectFinInfo2!$A$2:$BV$15,51,FALSE)</f>
        <v>42460</v>
      </c>
      <c r="J8" s="170">
        <f>VLOOKUP($A8,[2]LoanProjectFinInfo2!$A$2:$BV$15,52,FALSE)</f>
        <v>0</v>
      </c>
      <c r="K8" s="169">
        <f>VLOOKUP($A8,[2]LoanProjectFinInfo2!$A$2:$BV$15,42,FALSE)</f>
        <v>324.7</v>
      </c>
      <c r="L8" s="167" t="str">
        <f>VLOOKUP($A8,[2]LoanProjectFinInfo2!$A$2:$BV$15,63,FALSE)</f>
        <v>Ongoing</v>
      </c>
    </row>
    <row r="9" spans="1:12" ht="27" x14ac:dyDescent="0.25">
      <c r="A9" s="166" t="s">
        <v>153</v>
      </c>
      <c r="B9" s="167" t="str">
        <f>VLOOKUP($A9,[2]LoanProjectFinInfo2!$A$2:$BV$15,2,FALSE)</f>
        <v>Emergency Assistance for Relief and Recovery from Typhoon Yolanda</v>
      </c>
      <c r="C9" s="168" t="s">
        <v>152</v>
      </c>
      <c r="D9" s="167" t="str">
        <f>VLOOKUP($A9,[2]LoanProjectFinInfo2!$A$2:$BV$15,6,FALSE)</f>
        <v>ADB</v>
      </c>
      <c r="E9" s="167" t="str">
        <f>VLOOKUP($A9,[2]LoanProjectFinInfo2!$A$2:$BV$15,11,FALSE)</f>
        <v>DOF</v>
      </c>
      <c r="F9" s="169">
        <f>VLOOKUP($A9,[2]LoanProjectFinInfo2!$A$2:$BV$15,44,FALSE)</f>
        <v>500</v>
      </c>
      <c r="G9" s="170">
        <f>VLOOKUP($A9,[2]LoanProjectFinInfo2!$A$2:$BV$15,50,FALSE)</f>
        <v>41631</v>
      </c>
      <c r="H9" s="170">
        <f>VLOOKUP($A9,[2]LoanProjectFinInfo2!$A$2:$BV$15,54,FALSE)</f>
        <v>41698</v>
      </c>
      <c r="I9" s="170">
        <f>VLOOKUP($A9,[2]LoanProjectFinInfo2!$A$2:$BV$15,51,FALSE)</f>
        <v>42004</v>
      </c>
      <c r="J9" s="170">
        <f>VLOOKUP($A9,[2]LoanProjectFinInfo2!$A$2:$BV$15,52,FALSE)</f>
        <v>42185</v>
      </c>
      <c r="K9" s="169">
        <f>VLOOKUP($A9,[2]LoanProjectFinInfo2!$A$2:$BV$15,42,FALSE)</f>
        <v>300</v>
      </c>
      <c r="L9" s="167" t="str">
        <f>VLOOKUP($A9,[2]LoanProjectFinInfo2!$A$2:$BV$15,63,FALSE)</f>
        <v>Newly Effective</v>
      </c>
    </row>
    <row r="10" spans="1:12" x14ac:dyDescent="0.25">
      <c r="A10" s="166" t="s">
        <v>154</v>
      </c>
      <c r="B10" s="167" t="str">
        <f>VLOOKUP($A10,[2]LoanProjectFinInfo2!$A$2:$BV$15,2,FALSE)</f>
        <v>Post Disaster Stand-by Loan</v>
      </c>
      <c r="C10" s="168" t="s">
        <v>155</v>
      </c>
      <c r="D10" s="167" t="str">
        <f>VLOOKUP($A10,[2]LoanProjectFinInfo2!$A$2:$BV$15,6,FALSE)</f>
        <v>GOJ-JICA</v>
      </c>
      <c r="E10" s="167" t="str">
        <f>VLOOKUP($A10,[2]LoanProjectFinInfo2!$A$2:$BV$15,11,FALSE)</f>
        <v>DOF</v>
      </c>
      <c r="F10" s="169">
        <f>VLOOKUP($A10,[2]LoanProjectFinInfo2!$A$2:$BV$15,44,FALSE)</f>
        <v>438.33</v>
      </c>
      <c r="G10" s="170">
        <f>VLOOKUP($A10,[2]LoanProjectFinInfo2!$A$2:$BV$15,50,FALSE)</f>
        <v>41717</v>
      </c>
      <c r="H10" s="170">
        <f>VLOOKUP($A10,[2]LoanProjectFinInfo2!$A$2:$BV$15,54,FALSE)</f>
        <v>41724</v>
      </c>
      <c r="I10" s="170">
        <f>VLOOKUP($A10,[2]LoanProjectFinInfo2!$A$2:$BV$15,51,FALSE)</f>
        <v>42820</v>
      </c>
      <c r="J10" s="170">
        <f>VLOOKUP($A10,[2]LoanProjectFinInfo2!$A$2:$BV$15,52,FALSE)</f>
        <v>0</v>
      </c>
      <c r="K10" s="169">
        <f>VLOOKUP($A10,[2]LoanProjectFinInfo2!$A$2:$BV$15,42,FALSE)</f>
        <v>242</v>
      </c>
      <c r="L10" s="167" t="str">
        <f>VLOOKUP($A10,[2]LoanProjectFinInfo2!$A$2:$BV$15,63,FALSE)</f>
        <v>Newly Effective</v>
      </c>
    </row>
    <row r="11" spans="1:12" ht="27" x14ac:dyDescent="0.25">
      <c r="A11" s="166" t="s">
        <v>156</v>
      </c>
      <c r="B11" s="167" t="str">
        <f>VLOOKUP($A11,[2]LoanProjectFinInfo2!$A$2:$BV$15,2,FALSE)</f>
        <v>Social Welfare and Development Reform</v>
      </c>
      <c r="C11" s="168" t="s">
        <v>152</v>
      </c>
      <c r="D11" s="167" t="str">
        <f>VLOOKUP($A11,[2]LoanProjectFinInfo2!$A$2:$BV$15,6,FALSE)</f>
        <v>WB</v>
      </c>
      <c r="E11" s="167" t="str">
        <f>VLOOKUP($A11,[2]LoanProjectFinInfo2!$A$2:$BV$15,11,FALSE)</f>
        <v>DSWD</v>
      </c>
      <c r="F11" s="169">
        <f>VLOOKUP($A11,[2]LoanProjectFinInfo2!$A$2:$BV$15,44,FALSE)</f>
        <v>405</v>
      </c>
      <c r="G11" s="170">
        <f>VLOOKUP($A11,[2]LoanProjectFinInfo2!$A$2:$BV$15,50,FALSE)</f>
        <v>40185</v>
      </c>
      <c r="H11" s="170">
        <f>VLOOKUP($A11,[2]LoanProjectFinInfo2!$A$2:$BV$15,54,FALSE)</f>
        <v>40228</v>
      </c>
      <c r="I11" s="170">
        <f>VLOOKUP($A11,[2]LoanProjectFinInfo2!$A$2:$BV$15,51,FALSE)</f>
        <v>41820</v>
      </c>
      <c r="J11" s="170">
        <f>VLOOKUP($A11,[2]LoanProjectFinInfo2!$A$2:$BV$15,52,FALSE)</f>
        <v>42369</v>
      </c>
      <c r="K11" s="169">
        <f>VLOOKUP($A11,[2]LoanProjectFinInfo2!$A$2:$BV$15,42,FALSE)</f>
        <v>368.95231999999999</v>
      </c>
      <c r="L11" s="167" t="str">
        <f>VLOOKUP($A11,[2]LoanProjectFinInfo2!$A$2:$BV$15,63,FALSE)</f>
        <v>Ongoing</v>
      </c>
    </row>
    <row r="12" spans="1:12" ht="40.5" x14ac:dyDescent="0.25">
      <c r="A12" s="166" t="s">
        <v>157</v>
      </c>
      <c r="B12" s="167" t="str">
        <f>VLOOKUP($A12,[2]LoanProjectFinInfo2!$A$2:$BV$15,2,FALSE)</f>
        <v>Social Welfare and Development Reform Project (Additional Financing)</v>
      </c>
      <c r="C12" s="168" t="s">
        <v>152</v>
      </c>
      <c r="D12" s="167" t="str">
        <f>VLOOKUP($A12,[2]LoanProjectFinInfo2!$A$2:$BV$15,6,FALSE)</f>
        <v>WB</v>
      </c>
      <c r="E12" s="167" t="str">
        <f>VLOOKUP($A12,[2]LoanProjectFinInfo2!$A$2:$BV$15,11,FALSE)</f>
        <v>DSWD</v>
      </c>
      <c r="F12" s="169">
        <f>VLOOKUP($A12,[2]LoanProjectFinInfo2!$A$2:$BV$15,44,FALSE)</f>
        <v>100</v>
      </c>
      <c r="G12" s="170">
        <f>VLOOKUP($A12,[2]LoanProjectFinInfo2!$A$2:$BV$15,50,FALSE)</f>
        <v>41304</v>
      </c>
      <c r="H12" s="170">
        <f>VLOOKUP($A12,[2]LoanProjectFinInfo2!$A$2:$BV$15,54,FALSE)</f>
        <v>41396</v>
      </c>
      <c r="I12" s="170">
        <f>VLOOKUP($A12,[2]LoanProjectFinInfo2!$A$2:$BV$15,51,FALSE)</f>
        <v>42369</v>
      </c>
      <c r="J12" s="170">
        <f>VLOOKUP($A12,[2]LoanProjectFinInfo2!$A$2:$BV$15,52,FALSE)</f>
        <v>0</v>
      </c>
      <c r="K12" s="169">
        <f>VLOOKUP($A12,[2]LoanProjectFinInfo2!$A$2:$BV$15,42,FALSE)</f>
        <v>35.22</v>
      </c>
      <c r="L12" s="167" t="str">
        <f>VLOOKUP($A12,[2]LoanProjectFinInfo2!$A$2:$BV$15,63,FALSE)</f>
        <v>Ongoing</v>
      </c>
    </row>
    <row r="13" spans="1:12" ht="29.25" customHeight="1" x14ac:dyDescent="0.25">
      <c r="A13" s="166" t="s">
        <v>158</v>
      </c>
      <c r="B13" s="167" t="str">
        <f>VLOOKUP($A13,[2]LoanProjectFinInfo2!$A$2:$BV$15,2,FALSE)</f>
        <v>Learning, Equity, and Accountability Program Support (LEAPS)</v>
      </c>
      <c r="C13" s="168" t="s">
        <v>152</v>
      </c>
      <c r="D13" s="167" t="str">
        <f>VLOOKUP($A13,[2]LoanProjectFinInfo2!$A$2:$BV$15,6,FALSE)</f>
        <v>WB</v>
      </c>
      <c r="E13" s="167" t="str">
        <f>VLOOKUP($A13,[2]LoanProjectFinInfo2!$A$2:$BV$15,11,FALSE)</f>
        <v>DepEd</v>
      </c>
      <c r="F13" s="169">
        <f>VLOOKUP($A13,[2]LoanProjectFinInfo2!$A$2:$BV$15,44,FALSE)</f>
        <v>300</v>
      </c>
      <c r="G13" s="170">
        <f>VLOOKUP($A13,[2]LoanProjectFinInfo2!$A$2:$BV$15,50,FALSE)</f>
        <v>41739</v>
      </c>
      <c r="H13" s="170">
        <f>VLOOKUP($A13,[2]LoanProjectFinInfo2!$A$2:$BV$15,54,FALSE)</f>
        <v>41814</v>
      </c>
      <c r="I13" s="170">
        <f>VLOOKUP($A13,[2]LoanProjectFinInfo2!$A$2:$BV$15,51,FALSE)</f>
        <v>43343</v>
      </c>
      <c r="J13" s="170">
        <f>VLOOKUP($A13,[2]LoanProjectFinInfo2!$A$2:$BV$15,52,FALSE)</f>
        <v>0</v>
      </c>
      <c r="K13" s="169">
        <f>VLOOKUP($A13,[2]LoanProjectFinInfo2!$A$2:$BV$15,42,FALSE)</f>
        <v>0.75</v>
      </c>
      <c r="L13" s="167" t="str">
        <f>VLOOKUP($A13,[2]LoanProjectFinInfo2!$A$2:$BV$15,63,FALSE)</f>
        <v>Newly Effective</v>
      </c>
    </row>
    <row r="14" spans="1:12" ht="54" x14ac:dyDescent="0.25">
      <c r="A14" s="166" t="s">
        <v>159</v>
      </c>
      <c r="B14" s="167" t="str">
        <f>VLOOKUP($A14,[2]LoanProjectFinInfo2!$A$2:$BV$15,2,FALSE)</f>
        <v>Second Development Policy Loan to Foster More Inclusive Growth: Supplemental Financing for Post Typhoon Recovery</v>
      </c>
      <c r="C14" s="168" t="s">
        <v>152</v>
      </c>
      <c r="D14" s="167" t="str">
        <f>VLOOKUP($A14,[2]LoanProjectFinInfo2!$A$2:$BV$15,6,FALSE)</f>
        <v>WB</v>
      </c>
      <c r="E14" s="167" t="str">
        <f>VLOOKUP($A14,[2]LoanProjectFinInfo2!$A$2:$BV$15,11,FALSE)</f>
        <v>DOF</v>
      </c>
      <c r="F14" s="169">
        <f>VLOOKUP($A14,[2]LoanProjectFinInfo2!$A$2:$BV$15,44,FALSE)</f>
        <v>500</v>
      </c>
      <c r="G14" s="170">
        <f>VLOOKUP($A14,[2]LoanProjectFinInfo2!$A$2:$BV$15,50,FALSE)</f>
        <v>41631</v>
      </c>
      <c r="H14" s="170">
        <f>VLOOKUP($A14,[2]LoanProjectFinInfo2!$A$2:$BV$15,54,FALSE)</f>
        <v>41709</v>
      </c>
      <c r="I14" s="170">
        <f>VLOOKUP($A14,[2]LoanProjectFinInfo2!$A$2:$BV$15,51,FALSE)</f>
        <v>42004</v>
      </c>
      <c r="J14" s="170">
        <f>VLOOKUP($A14,[2]LoanProjectFinInfo2!$A$2:$BV$15,52,FALSE)</f>
        <v>42185</v>
      </c>
      <c r="K14" s="169">
        <f>VLOOKUP($A14,[2]LoanProjectFinInfo2!$A$2:$BV$15,42,FALSE)</f>
        <v>201.25</v>
      </c>
      <c r="L14" s="167" t="str">
        <f>VLOOKUP($A14,[2]LoanProjectFinInfo2!$A$2:$BV$15,63,FALSE)</f>
        <v>Newly Effective</v>
      </c>
    </row>
  </sheetData>
  <mergeCells count="14">
    <mergeCell ref="H6:H7"/>
    <mergeCell ref="I6:J6"/>
    <mergeCell ref="K6:K7"/>
    <mergeCell ref="L6:L7"/>
    <mergeCell ref="B2:L2"/>
    <mergeCell ref="B3:L3"/>
    <mergeCell ref="B4:L4"/>
    <mergeCell ref="B5:L5"/>
    <mergeCell ref="B6:B7"/>
    <mergeCell ref="C6:C7"/>
    <mergeCell ref="D6:D7"/>
    <mergeCell ref="E6:E7"/>
    <mergeCell ref="F6:F7"/>
    <mergeCell ref="G6:G7"/>
  </mergeCells>
  <pageMargins left="0.32" right="0.17" top="0.75" bottom="0.75" header="0.3" footer="0.3"/>
  <pageSetup paperSize="9" scale="9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11"/>
  <sheetViews>
    <sheetView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16.42578125" customWidth="1"/>
    <col min="2" max="2" width="12.42578125" customWidth="1"/>
    <col min="3" max="3" width="16.28515625" customWidth="1"/>
    <col min="4" max="4" width="13" customWidth="1"/>
    <col min="5" max="5" width="11.5703125" customWidth="1"/>
    <col min="6" max="7" width="13.140625" customWidth="1"/>
    <col min="8" max="8" width="11.140625" customWidth="1"/>
    <col min="9" max="9" width="11.7109375" customWidth="1"/>
    <col min="10" max="11" width="12.42578125" customWidth="1"/>
    <col min="12" max="12" width="12.140625" customWidth="1"/>
  </cols>
  <sheetData>
    <row r="1" spans="1:12" s="1" customFormat="1" ht="13.5" x14ac:dyDescent="0.25">
      <c r="L1" s="66" t="s">
        <v>117</v>
      </c>
    </row>
    <row r="2" spans="1:12" s="1" customFormat="1" ht="13.5" x14ac:dyDescent="0.25">
      <c r="A2" s="79" t="s">
        <v>109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s="1" customFormat="1" ht="15" customHeight="1" x14ac:dyDescent="0.25">
      <c r="A3" s="79" t="s">
        <v>0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</row>
    <row r="4" spans="1:12" s="1" customFormat="1" ht="13.5" x14ac:dyDescent="0.25">
      <c r="A4" s="79" t="s">
        <v>1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</row>
    <row r="5" spans="1:12" s="1" customFormat="1" ht="15" customHeight="1" x14ac:dyDescent="0.25">
      <c r="A5" s="79" t="s">
        <v>114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</row>
    <row r="6" spans="1:12" s="1" customFormat="1" ht="13.5" x14ac:dyDescent="0.25">
      <c r="E6" s="2"/>
    </row>
    <row r="7" spans="1:12" s="3" customFormat="1" ht="13.5" x14ac:dyDescent="0.25">
      <c r="A7" s="74"/>
      <c r="B7" s="75">
        <v>2004</v>
      </c>
      <c r="C7" s="75">
        <v>2005</v>
      </c>
      <c r="D7" s="75">
        <v>2006</v>
      </c>
      <c r="E7" s="75">
        <v>2007</v>
      </c>
      <c r="F7" s="75">
        <v>2008</v>
      </c>
      <c r="G7" s="75">
        <v>2009</v>
      </c>
      <c r="H7" s="75">
        <v>2010</v>
      </c>
      <c r="I7" s="75">
        <v>2011</v>
      </c>
      <c r="J7" s="75">
        <v>2012</v>
      </c>
      <c r="K7" s="76">
        <v>2013</v>
      </c>
      <c r="L7" s="76">
        <v>2014</v>
      </c>
    </row>
    <row r="8" spans="1:12" s="3" customFormat="1" ht="51" x14ac:dyDescent="0.25">
      <c r="A8" s="4" t="s">
        <v>115</v>
      </c>
      <c r="B8" s="5">
        <v>10365.11</v>
      </c>
      <c r="C8" s="5">
        <v>9508.0499999999993</v>
      </c>
      <c r="D8" s="5">
        <v>8130.13</v>
      </c>
      <c r="E8" s="5">
        <v>7538.64</v>
      </c>
      <c r="F8" s="5">
        <v>8101.97</v>
      </c>
      <c r="G8" s="5">
        <v>7899.12</v>
      </c>
      <c r="H8" s="5">
        <v>8216.49</v>
      </c>
      <c r="I8" s="5">
        <v>6857.67</v>
      </c>
      <c r="J8" s="5">
        <v>6888</v>
      </c>
      <c r="K8" s="6">
        <v>6710.71</v>
      </c>
      <c r="L8" s="6">
        <v>6946.37</v>
      </c>
    </row>
    <row r="9" spans="1:12" s="3" customFormat="1" ht="44.25" customHeight="1" x14ac:dyDescent="0.25">
      <c r="A9" s="4" t="s">
        <v>116</v>
      </c>
      <c r="B9" s="7">
        <v>7.5129999999999999</v>
      </c>
      <c r="C9" s="7">
        <v>6.36</v>
      </c>
      <c r="D9" s="7">
        <v>5.6820000000000004</v>
      </c>
      <c r="E9" s="7">
        <v>4.7560000000000002</v>
      </c>
      <c r="F9" s="7">
        <v>4.3209999999999997</v>
      </c>
      <c r="G9" s="7">
        <v>6.5670000000000002</v>
      </c>
      <c r="H9" s="7">
        <v>10.491</v>
      </c>
      <c r="I9" s="7">
        <v>8.9619999999999997</v>
      </c>
      <c r="J9" s="7">
        <v>6.8079999999999998</v>
      </c>
      <c r="K9" s="64">
        <v>4.6740000000000004</v>
      </c>
      <c r="L9" s="6">
        <v>4.6033999999999997</v>
      </c>
    </row>
    <row r="10" spans="1:12" s="3" customFormat="1" ht="57" customHeight="1" x14ac:dyDescent="0.25">
      <c r="A10" s="8" t="s">
        <v>2</v>
      </c>
      <c r="B10" s="77">
        <v>7.0000000000000007E-2</v>
      </c>
      <c r="C10" s="77">
        <v>7.0000000000000007E-2</v>
      </c>
      <c r="D10" s="77">
        <v>7.0000000000000007E-2</v>
      </c>
      <c r="E10" s="77">
        <v>0.06</v>
      </c>
      <c r="F10" s="77">
        <v>0.05</v>
      </c>
      <c r="G10" s="77">
        <v>0.08</v>
      </c>
      <c r="H10" s="77">
        <v>0.13</v>
      </c>
      <c r="I10" s="77">
        <v>0.13</v>
      </c>
      <c r="J10" s="77">
        <v>0.1</v>
      </c>
      <c r="K10" s="81">
        <v>7.0000000000000007E-2</v>
      </c>
      <c r="L10" s="78">
        <f>L9/L8*100</f>
        <v>6.627058449233196E-2</v>
      </c>
    </row>
    <row r="11" spans="1:12" s="3" customFormat="1" ht="13.5" x14ac:dyDescent="0.25">
      <c r="A11" s="9" t="s">
        <v>3</v>
      </c>
      <c r="B11" s="77"/>
      <c r="C11" s="77"/>
      <c r="D11" s="77"/>
      <c r="E11" s="77"/>
      <c r="F11" s="77"/>
      <c r="G11" s="77"/>
      <c r="H11" s="77"/>
      <c r="I11" s="77"/>
      <c r="J11" s="77"/>
      <c r="K11" s="81"/>
      <c r="L11" s="78"/>
    </row>
  </sheetData>
  <mergeCells count="15">
    <mergeCell ref="I10:I11"/>
    <mergeCell ref="J10:J11"/>
    <mergeCell ref="L10:L11"/>
    <mergeCell ref="A2:L2"/>
    <mergeCell ref="A3:L3"/>
    <mergeCell ref="A4:L4"/>
    <mergeCell ref="B10:B11"/>
    <mergeCell ref="C10:C11"/>
    <mergeCell ref="D10:D11"/>
    <mergeCell ref="E10:E11"/>
    <mergeCell ref="F10:F11"/>
    <mergeCell ref="G10:G11"/>
    <mergeCell ref="H10:H11"/>
    <mergeCell ref="K10:K11"/>
    <mergeCell ref="A5:L5"/>
  </mergeCells>
  <printOptions horizontalCentered="1"/>
  <pageMargins left="0.5" right="0.44" top="0.75" bottom="0.75" header="0.3" footer="0.3"/>
  <pageSetup paperSize="9" scale="8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view="pageBreakPreview" zoomScaleNormal="64" zoomScaleSheetLayoutView="100" workbookViewId="0">
      <pane xSplit="2" ySplit="8" topLeftCell="C9" activePane="bottomRight" state="frozen"/>
      <selection pane="topRight" activeCell="B1" sqref="B1"/>
      <selection pane="bottomLeft" activeCell="A8" sqref="A8"/>
      <selection pane="bottomRight" activeCell="B8" sqref="B8:H8"/>
    </sheetView>
  </sheetViews>
  <sheetFormatPr defaultRowHeight="15.75" x14ac:dyDescent="0.25"/>
  <cols>
    <col min="1" max="1" width="18.140625" style="44" customWidth="1"/>
    <col min="2" max="2" width="60.85546875" style="45" customWidth="1"/>
    <col min="3" max="3" width="21.28515625" style="46" customWidth="1"/>
    <col min="4" max="4" width="22.7109375" style="47" customWidth="1"/>
    <col min="5" max="5" width="21.42578125" style="47" customWidth="1"/>
    <col min="6" max="6" width="21.28515625" style="47" customWidth="1"/>
    <col min="7" max="7" width="22.28515625" style="47" customWidth="1"/>
    <col min="8" max="8" width="23.85546875" style="47" customWidth="1"/>
    <col min="9" max="9" width="23.140625" style="47" customWidth="1"/>
    <col min="10" max="10" width="29.85546875" style="53" customWidth="1"/>
    <col min="11" max="11" width="16.85546875" style="47" customWidth="1"/>
    <col min="12" max="12" width="14.7109375" style="47" customWidth="1"/>
    <col min="13" max="13" width="16.42578125" style="46" customWidth="1"/>
    <col min="14" max="14" width="13.42578125" style="48" customWidth="1"/>
    <col min="15" max="15" width="14" style="48" customWidth="1"/>
    <col min="16" max="16" width="16.28515625" style="49" customWidth="1"/>
    <col min="17" max="17" width="12.140625" style="49" customWidth="1"/>
    <col min="18" max="18" width="7.140625" style="49" customWidth="1"/>
    <col min="19" max="21" width="9.140625" style="49"/>
    <col min="22" max="22" width="9.140625" style="48"/>
    <col min="23" max="16384" width="9.140625" style="49"/>
  </cols>
  <sheetData>
    <row r="1" spans="1:22" s="16" customFormat="1" ht="13.5" x14ac:dyDescent="0.25">
      <c r="A1" s="10"/>
      <c r="B1" s="11"/>
      <c r="C1" s="11"/>
      <c r="D1" s="11"/>
      <c r="E1" s="11"/>
      <c r="F1" s="11"/>
      <c r="G1" s="11"/>
      <c r="H1" s="67" t="s">
        <v>118</v>
      </c>
      <c r="J1" s="12"/>
      <c r="K1" s="13"/>
      <c r="L1" s="13"/>
      <c r="M1" s="14"/>
      <c r="N1" s="15"/>
      <c r="O1" s="15"/>
      <c r="V1" s="15"/>
    </row>
    <row r="2" spans="1:22" s="16" customFormat="1" ht="13.5" x14ac:dyDescent="0.25">
      <c r="A2" s="10"/>
      <c r="B2" s="17"/>
      <c r="C2" s="17"/>
      <c r="D2" s="17"/>
      <c r="E2" s="17"/>
      <c r="F2" s="17"/>
      <c r="G2" s="17"/>
      <c r="H2" s="17"/>
      <c r="I2" s="17"/>
      <c r="J2" s="18"/>
      <c r="K2" s="13"/>
      <c r="L2" s="13"/>
      <c r="M2" s="14"/>
      <c r="N2" s="15"/>
      <c r="O2" s="15"/>
      <c r="V2" s="15"/>
    </row>
    <row r="3" spans="1:22" s="16" customFormat="1" ht="13.5" x14ac:dyDescent="0.25">
      <c r="A3" s="10"/>
      <c r="B3" s="82" t="s">
        <v>110</v>
      </c>
      <c r="C3" s="82"/>
      <c r="D3" s="82"/>
      <c r="E3" s="82"/>
      <c r="F3" s="82"/>
      <c r="G3" s="82"/>
      <c r="H3" s="82"/>
      <c r="I3" s="17"/>
      <c r="J3" s="12"/>
      <c r="K3" s="13"/>
      <c r="L3" s="13"/>
      <c r="M3" s="14"/>
      <c r="N3" s="15"/>
      <c r="O3" s="15"/>
      <c r="V3" s="15"/>
    </row>
    <row r="4" spans="1:22" s="16" customFormat="1" ht="13.5" x14ac:dyDescent="0.25">
      <c r="A4" s="10"/>
      <c r="B4" s="82" t="s">
        <v>4</v>
      </c>
      <c r="C4" s="82"/>
      <c r="D4" s="82"/>
      <c r="E4" s="82"/>
      <c r="F4" s="82"/>
      <c r="G4" s="82"/>
      <c r="H4" s="82"/>
      <c r="I4" s="17"/>
      <c r="J4" s="12"/>
      <c r="K4" s="13"/>
      <c r="L4" s="13"/>
      <c r="M4" s="14"/>
      <c r="N4" s="15"/>
      <c r="O4" s="15"/>
      <c r="V4" s="15"/>
    </row>
    <row r="5" spans="1:22" s="16" customFormat="1" ht="13.5" x14ac:dyDescent="0.25">
      <c r="A5" s="10"/>
      <c r="B5" s="82" t="s">
        <v>5</v>
      </c>
      <c r="C5" s="82"/>
      <c r="D5" s="82"/>
      <c r="E5" s="82"/>
      <c r="F5" s="82"/>
      <c r="G5" s="82"/>
      <c r="H5" s="82"/>
      <c r="I5" s="17"/>
      <c r="J5" s="12"/>
      <c r="K5" s="13"/>
      <c r="L5" s="13"/>
      <c r="M5" s="14"/>
      <c r="N5" s="15"/>
      <c r="O5" s="15"/>
      <c r="V5" s="15"/>
    </row>
    <row r="6" spans="1:22" s="16" customFormat="1" ht="13.5" x14ac:dyDescent="0.25">
      <c r="A6" s="10"/>
      <c r="B6" s="82" t="s">
        <v>6</v>
      </c>
      <c r="C6" s="82"/>
      <c r="D6" s="82"/>
      <c r="E6" s="82"/>
      <c r="F6" s="82"/>
      <c r="G6" s="82"/>
      <c r="H6" s="82"/>
      <c r="I6" s="17"/>
      <c r="J6" s="12"/>
      <c r="K6" s="13"/>
      <c r="L6" s="13"/>
      <c r="M6" s="14"/>
      <c r="N6" s="15"/>
      <c r="O6" s="15"/>
      <c r="V6" s="15"/>
    </row>
    <row r="7" spans="1:22" s="23" customFormat="1" ht="13.5" x14ac:dyDescent="0.25">
      <c r="A7" s="19"/>
      <c r="B7" s="11"/>
      <c r="C7" s="11"/>
      <c r="D7" s="20"/>
      <c r="E7" s="20"/>
      <c r="F7" s="20"/>
      <c r="G7" s="20"/>
      <c r="H7" s="20"/>
      <c r="I7" s="20"/>
      <c r="J7" s="21"/>
      <c r="K7" s="20"/>
      <c r="L7" s="20"/>
      <c r="M7" s="11"/>
      <c r="N7" s="20"/>
      <c r="O7" s="22"/>
      <c r="P7" s="16"/>
      <c r="V7" s="22"/>
    </row>
    <row r="8" spans="1:22" s="69" customFormat="1" ht="12.75" x14ac:dyDescent="0.2">
      <c r="A8" s="68"/>
      <c r="B8" s="72" t="s">
        <v>7</v>
      </c>
      <c r="C8" s="73" t="s">
        <v>8</v>
      </c>
      <c r="D8" s="73" t="s">
        <v>9</v>
      </c>
      <c r="E8" s="73" t="s">
        <v>10</v>
      </c>
      <c r="F8" s="73" t="s">
        <v>11</v>
      </c>
      <c r="G8" s="73" t="s">
        <v>12</v>
      </c>
      <c r="H8" s="73" t="s">
        <v>13</v>
      </c>
      <c r="J8" s="70" t="s">
        <v>14</v>
      </c>
      <c r="L8" s="71"/>
    </row>
    <row r="9" spans="1:22" s="23" customFormat="1" ht="12.75" x14ac:dyDescent="0.2">
      <c r="A9" s="24"/>
      <c r="B9" s="25" t="s">
        <v>15</v>
      </c>
      <c r="C9" s="26"/>
      <c r="D9" s="26"/>
      <c r="E9" s="26"/>
      <c r="F9" s="26"/>
      <c r="G9" s="26"/>
      <c r="H9" s="26"/>
      <c r="J9" s="27"/>
      <c r="L9" s="22"/>
    </row>
    <row r="10" spans="1:22" s="16" customFormat="1" ht="13.5" x14ac:dyDescent="0.25">
      <c r="A10" s="28" t="s">
        <v>16</v>
      </c>
      <c r="B10" s="29" t="s">
        <v>17</v>
      </c>
      <c r="C10" s="30">
        <v>2112185.6999999997</v>
      </c>
      <c r="D10" s="30">
        <f>675400.24+477545.07</f>
        <v>1152945.31</v>
      </c>
      <c r="E10" s="30">
        <f>397863.37+314924.08</f>
        <v>712787.45</v>
      </c>
      <c r="F10" s="30">
        <v>167280.67000000001</v>
      </c>
      <c r="G10" s="63"/>
      <c r="H10" s="30">
        <f>SUM(C10,D10,E10,F10)</f>
        <v>4145199.13</v>
      </c>
      <c r="J10" s="31"/>
      <c r="L10" s="15"/>
    </row>
    <row r="11" spans="1:22" s="16" customFormat="1" ht="13.5" x14ac:dyDescent="0.25">
      <c r="A11" s="28" t="s">
        <v>18</v>
      </c>
      <c r="B11" s="32" t="s">
        <v>19</v>
      </c>
      <c r="C11" s="30">
        <v>9752889.9900000002</v>
      </c>
      <c r="D11" s="30">
        <f>4537139.86+4358935.5</f>
        <v>8896075.3599999994</v>
      </c>
      <c r="E11" s="30">
        <v>4031922.96</v>
      </c>
      <c r="F11" s="30">
        <f>3235932.51+3013009.66</f>
        <v>6248942.1699999999</v>
      </c>
      <c r="G11" s="63">
        <v>2475004.65</v>
      </c>
      <c r="H11" s="30">
        <f>SUM(C11,D11,E11,F11,G11)</f>
        <v>31404835.130000003</v>
      </c>
      <c r="J11" s="31">
        <v>56731.03</v>
      </c>
      <c r="L11" s="15"/>
    </row>
    <row r="12" spans="1:22" s="16" customFormat="1" ht="13.5" x14ac:dyDescent="0.25">
      <c r="A12" s="28" t="s">
        <v>20</v>
      </c>
      <c r="B12" s="32" t="s">
        <v>21</v>
      </c>
      <c r="C12" s="30">
        <v>4577892.16</v>
      </c>
      <c r="D12" s="30">
        <f>2115944.86+2111943.95</f>
        <v>4227888.8100000005</v>
      </c>
      <c r="E12" s="30">
        <v>2061229.01</v>
      </c>
      <c r="F12" s="30">
        <f>1960904.47+1963898.41</f>
        <v>3924802.88</v>
      </c>
      <c r="G12" s="63">
        <v>3756006.39</v>
      </c>
      <c r="H12" s="30">
        <f>SUM(C12,D12,E12,F12,G12)</f>
        <v>18547819.25</v>
      </c>
      <c r="J12" s="31">
        <v>84898.11</v>
      </c>
      <c r="L12" s="15"/>
    </row>
    <row r="13" spans="1:22" s="16" customFormat="1" ht="13.5" x14ac:dyDescent="0.25">
      <c r="A13" s="28" t="s">
        <v>22</v>
      </c>
      <c r="B13" s="32" t="s">
        <v>23</v>
      </c>
      <c r="C13" s="30">
        <v>965820.55</v>
      </c>
      <c r="D13" s="30">
        <f>873348.31+846115.24</f>
        <v>1719463.55</v>
      </c>
      <c r="E13" s="30">
        <v>839100.38</v>
      </c>
      <c r="F13" s="30">
        <v>708678.25</v>
      </c>
      <c r="G13" s="63">
        <v>394318.44</v>
      </c>
      <c r="H13" s="30">
        <f>SUM(C13,D13,E13,F13,G13)</f>
        <v>4627381.1700000009</v>
      </c>
      <c r="J13" s="31">
        <v>8916.39</v>
      </c>
      <c r="L13" s="15"/>
    </row>
    <row r="14" spans="1:22" s="16" customFormat="1" ht="13.5" x14ac:dyDescent="0.25">
      <c r="A14" s="28" t="s">
        <v>24</v>
      </c>
      <c r="B14" s="32" t="s">
        <v>25</v>
      </c>
      <c r="C14" s="30"/>
      <c r="D14" s="30"/>
      <c r="E14" s="30">
        <f>11146792.69+10338607.95</f>
        <v>21485400.640000001</v>
      </c>
      <c r="F14" s="30">
        <f>8253994.42+7228811.98</f>
        <v>15482806.4</v>
      </c>
      <c r="G14" s="63">
        <v>10187389.869999999</v>
      </c>
      <c r="H14" s="30">
        <f>SUM(C14,D14,E14,F14,G14)</f>
        <v>47155596.909999996</v>
      </c>
      <c r="J14" s="31">
        <v>230563.8</v>
      </c>
      <c r="L14" s="15"/>
    </row>
    <row r="15" spans="1:22" s="16" customFormat="1" ht="27" x14ac:dyDescent="0.25">
      <c r="A15" s="28" t="s">
        <v>26</v>
      </c>
      <c r="B15" s="32" t="s">
        <v>27</v>
      </c>
      <c r="C15" s="30"/>
      <c r="D15" s="30"/>
      <c r="E15" s="30">
        <v>2126083.4700000002</v>
      </c>
      <c r="F15" s="30">
        <f>1968817.78+2010005.09</f>
        <v>3978822.87</v>
      </c>
      <c r="G15" s="63">
        <v>3867510.53</v>
      </c>
      <c r="H15" s="30">
        <f>SUM(C15,D15,E15,F15,G15)</f>
        <v>9972416.8699999992</v>
      </c>
      <c r="J15" s="31">
        <v>87099.7</v>
      </c>
      <c r="L15" s="15"/>
    </row>
    <row r="16" spans="1:22" s="16" customFormat="1" ht="13.5" x14ac:dyDescent="0.25">
      <c r="A16" s="28" t="s">
        <v>28</v>
      </c>
      <c r="B16" s="33" t="s">
        <v>29</v>
      </c>
      <c r="C16" s="30"/>
      <c r="D16" s="30"/>
      <c r="E16" s="30"/>
      <c r="F16" s="30">
        <v>5230041.25</v>
      </c>
      <c r="G16" s="63"/>
      <c r="H16" s="30">
        <f>SUM(C16:F16)</f>
        <v>5230041.25</v>
      </c>
      <c r="J16" s="31"/>
      <c r="L16" s="15"/>
    </row>
    <row r="17" spans="1:12" s="16" customFormat="1" ht="27" x14ac:dyDescent="0.25">
      <c r="A17" s="28" t="s">
        <v>28</v>
      </c>
      <c r="B17" s="33" t="s">
        <v>30</v>
      </c>
      <c r="C17" s="30"/>
      <c r="D17" s="30"/>
      <c r="E17" s="30"/>
      <c r="F17" s="30"/>
      <c r="G17" s="63">
        <v>13949386.82</v>
      </c>
      <c r="H17" s="30">
        <v>13949366.82</v>
      </c>
      <c r="J17" s="31">
        <v>314166.67</v>
      </c>
      <c r="L17" s="15"/>
    </row>
    <row r="18" spans="1:12" s="16" customFormat="1" ht="27" x14ac:dyDescent="0.25">
      <c r="A18" s="28" t="s">
        <v>24</v>
      </c>
      <c r="B18" s="33" t="s">
        <v>31</v>
      </c>
      <c r="C18" s="30"/>
      <c r="D18" s="30"/>
      <c r="E18" s="30"/>
      <c r="F18" s="30"/>
      <c r="G18" s="63">
        <v>13514450</v>
      </c>
      <c r="H18" s="30">
        <v>13514450</v>
      </c>
      <c r="J18" s="31">
        <v>303286.58</v>
      </c>
      <c r="L18" s="15"/>
    </row>
    <row r="19" spans="1:12" s="16" customFormat="1" ht="27" x14ac:dyDescent="0.25">
      <c r="A19" s="28" t="s">
        <v>28</v>
      </c>
      <c r="B19" s="33" t="s">
        <v>32</v>
      </c>
      <c r="C19" s="30"/>
      <c r="D19" s="30"/>
      <c r="E19" s="30"/>
      <c r="F19" s="30"/>
      <c r="G19" s="63">
        <v>7045661.71</v>
      </c>
      <c r="H19" s="30">
        <v>7045661.71</v>
      </c>
      <c r="J19" s="31">
        <v>160414.47</v>
      </c>
      <c r="L19" s="15"/>
    </row>
    <row r="20" spans="1:12" s="16" customFormat="1" ht="27" x14ac:dyDescent="0.25">
      <c r="A20" s="28" t="s">
        <v>18</v>
      </c>
      <c r="B20" s="33" t="s">
        <v>33</v>
      </c>
      <c r="C20" s="30"/>
      <c r="D20" s="30"/>
      <c r="E20" s="30"/>
      <c r="F20" s="30"/>
      <c r="G20" s="63">
        <v>6523780.2300000004</v>
      </c>
      <c r="H20" s="30">
        <v>6523780.2300000004</v>
      </c>
      <c r="J20" s="31">
        <v>147166.26</v>
      </c>
      <c r="L20" s="15"/>
    </row>
    <row r="21" spans="1:12" s="16" customFormat="1" ht="33.75" customHeight="1" x14ac:dyDescent="0.25">
      <c r="A21" s="28" t="s">
        <v>22</v>
      </c>
      <c r="B21" s="33" t="s">
        <v>34</v>
      </c>
      <c r="C21" s="30"/>
      <c r="D21" s="30"/>
      <c r="E21" s="30"/>
      <c r="F21" s="30"/>
      <c r="G21" s="30">
        <v>20248375.530000001</v>
      </c>
      <c r="H21" s="30">
        <v>20248375.530000001</v>
      </c>
      <c r="J21" s="31">
        <v>455952.3</v>
      </c>
      <c r="L21" s="15"/>
    </row>
    <row r="22" spans="1:12" s="16" customFormat="1" ht="33.75" customHeight="1" x14ac:dyDescent="0.25">
      <c r="A22" s="28" t="s">
        <v>107</v>
      </c>
      <c r="B22" s="33" t="s">
        <v>108</v>
      </c>
      <c r="C22" s="30"/>
      <c r="D22" s="30"/>
      <c r="E22" s="30"/>
      <c r="F22" s="30"/>
      <c r="G22" s="30">
        <f>J22*44.81237</f>
        <v>1347542.4714249</v>
      </c>
      <c r="H22" s="30">
        <f>G22</f>
        <v>1347542.4714249</v>
      </c>
      <c r="J22" s="31">
        <v>30070.77</v>
      </c>
      <c r="L22" s="15"/>
    </row>
    <row r="23" spans="1:12" s="16" customFormat="1" ht="13.5" x14ac:dyDescent="0.25">
      <c r="A23" s="28"/>
      <c r="B23" s="34" t="s">
        <v>35</v>
      </c>
      <c r="C23" s="35">
        <f>SUM(C10,C11,C12,C13,C14,C15,C17,C16,C18,C19,C21,C20)</f>
        <v>17408788.399999999</v>
      </c>
      <c r="D23" s="35">
        <f>SUM(D10,D11,D12,D13,D14,D15,D16,D17,D18,D19,D20,D21)</f>
        <v>15996373.030000001</v>
      </c>
      <c r="E23" s="35">
        <f>SUM(E10,E11,E12,E13,E14,E15,E16,E17,E18,E19,E20,E21)</f>
        <v>31256523.91</v>
      </c>
      <c r="F23" s="35">
        <f>SUM(F10,F11,F12,F13,F14,F15,F17,F16,F18,F19,F20,F21)</f>
        <v>35741374.489999995</v>
      </c>
      <c r="G23" s="35">
        <f>SUM(G11,G12,G13,G14,G15,G17,G18,G19,G20,G21,G22)</f>
        <v>83309426.641424894</v>
      </c>
      <c r="H23" s="35">
        <f>SUM(H10,H11,H12,H13,H14,H15,H17,H16,H18,H19,H20,H21,H22)</f>
        <v>183712466.47142491</v>
      </c>
      <c r="J23" s="36">
        <f>SUM(J10:J22)</f>
        <v>1879266.08</v>
      </c>
      <c r="L23" s="15"/>
    </row>
    <row r="24" spans="1:12" s="16" customFormat="1" ht="13.5" x14ac:dyDescent="0.25">
      <c r="A24" s="28"/>
      <c r="B24" s="37" t="s">
        <v>36</v>
      </c>
      <c r="C24" s="38"/>
      <c r="D24" s="38"/>
      <c r="E24" s="38"/>
      <c r="F24" s="38"/>
      <c r="G24" s="38"/>
      <c r="H24" s="38"/>
      <c r="J24" s="31"/>
      <c r="L24" s="15"/>
    </row>
    <row r="25" spans="1:12" s="16" customFormat="1" ht="13.5" x14ac:dyDescent="0.25">
      <c r="A25" s="28" t="s">
        <v>37</v>
      </c>
      <c r="B25" s="29" t="s">
        <v>38</v>
      </c>
      <c r="C25" s="30">
        <v>15860265.76</v>
      </c>
      <c r="D25" s="30">
        <f>507017.17+423818.95</f>
        <v>930836.12</v>
      </c>
      <c r="E25" s="30">
        <f>240388.27+103180.4</f>
        <v>343568.67</v>
      </c>
      <c r="F25" s="30">
        <v>50565.26</v>
      </c>
      <c r="G25" s="63"/>
      <c r="H25" s="30">
        <f>SUM(C25:F25)</f>
        <v>17185235.810000002</v>
      </c>
      <c r="J25" s="31"/>
      <c r="L25" s="15"/>
    </row>
    <row r="26" spans="1:12" s="16" customFormat="1" ht="27" x14ac:dyDescent="0.25">
      <c r="A26" s="28" t="s">
        <v>39</v>
      </c>
      <c r="B26" s="32" t="s">
        <v>40</v>
      </c>
      <c r="C26" s="30">
        <v>10137225.170000002</v>
      </c>
      <c r="D26" s="30">
        <f>659325.94+612716.9</f>
        <v>1272042.8399999999</v>
      </c>
      <c r="E26" s="30">
        <f>521122.74+448622.78</f>
        <v>969745.52</v>
      </c>
      <c r="F26" s="30">
        <v>395710.8</v>
      </c>
      <c r="G26" s="63">
        <v>304493.33</v>
      </c>
      <c r="H26" s="39">
        <f>SUM(C26,D26,E26,F26,G26)</f>
        <v>13079217.660000002</v>
      </c>
      <c r="J26" s="31">
        <v>6854.87</v>
      </c>
      <c r="K26" s="23" t="s">
        <v>111</v>
      </c>
      <c r="L26" s="15"/>
    </row>
    <row r="27" spans="1:12" s="16" customFormat="1" ht="13.5" x14ac:dyDescent="0.25">
      <c r="A27" s="28" t="s">
        <v>41</v>
      </c>
      <c r="B27" s="32" t="s">
        <v>42</v>
      </c>
      <c r="C27" s="30">
        <v>60532284.339999996</v>
      </c>
      <c r="D27" s="30">
        <f>2344149.27+991823.48</f>
        <v>3335972.75</v>
      </c>
      <c r="E27" s="30">
        <f>653888.82+388923.61</f>
        <v>1042812.4299999999</v>
      </c>
      <c r="F27" s="30">
        <v>79796.67</v>
      </c>
      <c r="G27" s="63"/>
      <c r="H27" s="30">
        <f>SUM(C27,D27,E27,F27)</f>
        <v>64990866.189999998</v>
      </c>
      <c r="J27" s="31"/>
      <c r="L27" s="15"/>
    </row>
    <row r="28" spans="1:12" s="16" customFormat="1" ht="13.5" x14ac:dyDescent="0.25">
      <c r="A28" s="28" t="s">
        <v>43</v>
      </c>
      <c r="B28" s="32" t="s">
        <v>44</v>
      </c>
      <c r="C28" s="30">
        <v>4129385.2</v>
      </c>
      <c r="D28" s="30">
        <f>489558.33+447759.66</f>
        <v>937317.99</v>
      </c>
      <c r="E28" s="30">
        <f>402649.95+363864.29</f>
        <v>766514.24</v>
      </c>
      <c r="F28" s="30">
        <f>283883.51+260857.29</f>
        <v>544740.80000000005</v>
      </c>
      <c r="G28" s="63">
        <v>51033.120000000003</v>
      </c>
      <c r="H28" s="30">
        <f>SUM(C28,D28,E28,F28,G28)</f>
        <v>6428991.3500000006</v>
      </c>
      <c r="J28" s="31">
        <v>1169.76</v>
      </c>
      <c r="K28" s="23" t="s">
        <v>111</v>
      </c>
      <c r="L28" s="15"/>
    </row>
    <row r="29" spans="1:12" s="16" customFormat="1" ht="13.5" x14ac:dyDescent="0.25">
      <c r="A29" s="28" t="s">
        <v>45</v>
      </c>
      <c r="B29" s="32" t="s">
        <v>46</v>
      </c>
      <c r="C29" s="30">
        <v>30340256.150000002</v>
      </c>
      <c r="D29" s="30">
        <f>3725520.94+3553490.71</f>
        <v>7279011.6500000004</v>
      </c>
      <c r="E29" s="30">
        <f>3122033.02+2495468.37</f>
        <v>5617501.3900000006</v>
      </c>
      <c r="F29" s="30">
        <v>1495371.07</v>
      </c>
      <c r="G29" s="63">
        <v>1937099.75</v>
      </c>
      <c r="H29" s="30">
        <f>SUM(C29,D29,E29,F29,G29)</f>
        <v>46669240.010000005</v>
      </c>
      <c r="J29" s="31">
        <v>43874.95</v>
      </c>
      <c r="L29" s="15"/>
    </row>
    <row r="30" spans="1:12" s="16" customFormat="1" ht="27" x14ac:dyDescent="0.25">
      <c r="A30" s="28" t="s">
        <v>47</v>
      </c>
      <c r="B30" s="32" t="s">
        <v>48</v>
      </c>
      <c r="C30" s="30">
        <v>14919291.439999999</v>
      </c>
      <c r="D30" s="30">
        <f>1697254.71+1594969.8</f>
        <v>3292224.51</v>
      </c>
      <c r="E30" s="30">
        <f>1418763.39+961473.92</f>
        <v>2380237.31</v>
      </c>
      <c r="F30" s="30">
        <f>295193.05+110613.95</f>
        <v>405807</v>
      </c>
      <c r="G30" s="63"/>
      <c r="H30" s="30">
        <f>SUM(C30:F30)</f>
        <v>20997560.259999998</v>
      </c>
      <c r="J30" s="31"/>
      <c r="L30" s="15"/>
    </row>
    <row r="31" spans="1:12" s="16" customFormat="1" ht="13.5" x14ac:dyDescent="0.25">
      <c r="A31" s="28"/>
      <c r="B31" s="40" t="s">
        <v>35</v>
      </c>
      <c r="C31" s="35">
        <f>SUM(C25:C30)</f>
        <v>135918708.06</v>
      </c>
      <c r="D31" s="35">
        <f>SUM(D25:D30)</f>
        <v>17047405.859999999</v>
      </c>
      <c r="E31" s="35">
        <f>SUM(E25:E30)</f>
        <v>11120379.560000001</v>
      </c>
      <c r="F31" s="35">
        <f>SUM(F25:F30)</f>
        <v>2971991.6</v>
      </c>
      <c r="G31" s="35">
        <f>SUM(G26,G28,G29)</f>
        <v>2292626.2000000002</v>
      </c>
      <c r="H31" s="35">
        <f>SUM(H25:H30)</f>
        <v>169351111.27999997</v>
      </c>
      <c r="J31" s="36">
        <f>SUM(J25:J30)</f>
        <v>51899.579999999994</v>
      </c>
      <c r="L31" s="15"/>
    </row>
    <row r="32" spans="1:12" s="16" customFormat="1" ht="13.5" x14ac:dyDescent="0.25">
      <c r="A32" s="28"/>
      <c r="B32" s="37" t="s">
        <v>49</v>
      </c>
      <c r="C32" s="38"/>
      <c r="D32" s="38"/>
      <c r="E32" s="38"/>
      <c r="F32" s="38"/>
      <c r="G32" s="38"/>
      <c r="H32" s="38"/>
      <c r="J32" s="31"/>
      <c r="L32" s="15"/>
    </row>
    <row r="33" spans="1:12" s="16" customFormat="1" ht="27" x14ac:dyDescent="0.25">
      <c r="A33" s="28" t="s">
        <v>50</v>
      </c>
      <c r="B33" s="29" t="s">
        <v>51</v>
      </c>
      <c r="C33" s="30"/>
      <c r="D33" s="30">
        <v>1537085.2</v>
      </c>
      <c r="E33" s="30">
        <f>1042845.99+791021.75</f>
        <v>1833867.74</v>
      </c>
      <c r="F33" s="30">
        <f>369349.49+160603.36</f>
        <v>529952.85</v>
      </c>
      <c r="G33" s="63"/>
      <c r="H33" s="30">
        <f>SUM(C33:F33)</f>
        <v>3900905.79</v>
      </c>
      <c r="J33" s="31"/>
      <c r="L33" s="15"/>
    </row>
    <row r="34" spans="1:12" s="16" customFormat="1" ht="13.5" x14ac:dyDescent="0.25">
      <c r="A34" s="28" t="s">
        <v>50</v>
      </c>
      <c r="B34" s="32" t="s">
        <v>52</v>
      </c>
      <c r="C34" s="30"/>
      <c r="D34" s="30">
        <v>3289937.46</v>
      </c>
      <c r="E34" s="30">
        <f>10481267.92+10353565.89</f>
        <v>20834833.810000002</v>
      </c>
      <c r="F34" s="30">
        <f>8033812.47+8638422.12</f>
        <v>16672234.59</v>
      </c>
      <c r="G34" s="30">
        <v>16148027.119999999</v>
      </c>
      <c r="H34" s="30">
        <f>SUM(D34,E34,F34,G34)</f>
        <v>56945032.979999997</v>
      </c>
      <c r="J34" s="31">
        <v>361245.43</v>
      </c>
      <c r="L34" s="15"/>
    </row>
    <row r="35" spans="1:12" s="16" customFormat="1" ht="13.5" x14ac:dyDescent="0.25">
      <c r="A35" s="28" t="s">
        <v>53</v>
      </c>
      <c r="B35" s="32" t="s">
        <v>54</v>
      </c>
      <c r="C35" s="30"/>
      <c r="D35" s="30"/>
      <c r="E35" s="30">
        <v>717116.38</v>
      </c>
      <c r="F35" s="30">
        <f>1852740.36+2006636.28</f>
        <v>3859376.64</v>
      </c>
      <c r="G35" s="30">
        <v>3832975.89</v>
      </c>
      <c r="H35" s="30">
        <f>SUM(D35,E35,F35,G35)</f>
        <v>8409468.9100000001</v>
      </c>
      <c r="J35" s="31">
        <v>85742.91</v>
      </c>
      <c r="L35" s="15"/>
    </row>
    <row r="36" spans="1:12" s="16" customFormat="1" ht="13.5" x14ac:dyDescent="0.25">
      <c r="A36" s="28" t="s">
        <v>50</v>
      </c>
      <c r="B36" s="32" t="s">
        <v>55</v>
      </c>
      <c r="C36" s="30"/>
      <c r="D36" s="30"/>
      <c r="E36" s="30">
        <v>1772693.97</v>
      </c>
      <c r="F36" s="30">
        <f>4669955.17+5060218.02</f>
        <v>9730173.1899999995</v>
      </c>
      <c r="G36" s="30">
        <v>9703955.5399999991</v>
      </c>
      <c r="H36" s="30">
        <f>SUM(C36,D36,E36,F36,G36)</f>
        <v>21206822.699999999</v>
      </c>
      <c r="J36" s="31">
        <v>217073.54</v>
      </c>
      <c r="L36" s="15"/>
    </row>
    <row r="37" spans="1:12" s="16" customFormat="1" ht="13.5" x14ac:dyDescent="0.25">
      <c r="A37" s="28" t="s">
        <v>50</v>
      </c>
      <c r="B37" s="32" t="s">
        <v>56</v>
      </c>
      <c r="C37" s="30"/>
      <c r="D37" s="30"/>
      <c r="E37" s="30">
        <v>357011.72</v>
      </c>
      <c r="F37" s="30">
        <f>938729.27+1010908.24</f>
        <v>1949637.51</v>
      </c>
      <c r="G37" s="30">
        <v>1926706.77</v>
      </c>
      <c r="H37" s="30">
        <f>SUM(E37,F37,G37)</f>
        <v>4233356</v>
      </c>
      <c r="J37" s="31">
        <v>43101.06</v>
      </c>
      <c r="L37" s="15"/>
    </row>
    <row r="38" spans="1:12" s="16" customFormat="1" ht="27" x14ac:dyDescent="0.25">
      <c r="A38" s="28" t="s">
        <v>57</v>
      </c>
      <c r="B38" s="32" t="s">
        <v>58</v>
      </c>
      <c r="C38" s="30"/>
      <c r="D38" s="30"/>
      <c r="E38" s="30">
        <v>471479.25</v>
      </c>
      <c r="F38" s="30">
        <f>1242057.16+1222004.69</f>
        <v>2464061.8499999996</v>
      </c>
      <c r="G38" s="30">
        <v>2080710.5</v>
      </c>
      <c r="H38" s="30">
        <f>SUM(E38,F38,G38)</f>
        <v>5016251.5999999996</v>
      </c>
      <c r="J38" s="31">
        <v>46568.14</v>
      </c>
      <c r="L38" s="15"/>
    </row>
    <row r="39" spans="1:12" s="16" customFormat="1" ht="27" x14ac:dyDescent="0.25">
      <c r="A39" s="28" t="s">
        <v>50</v>
      </c>
      <c r="B39" s="32" t="s">
        <v>59</v>
      </c>
      <c r="C39" s="30"/>
      <c r="D39" s="30"/>
      <c r="E39" s="30">
        <v>920407.52</v>
      </c>
      <c r="F39" s="30">
        <f>2424705.43+2627335.52</f>
        <v>5052040.95</v>
      </c>
      <c r="G39" s="30">
        <v>6490425.9400000004</v>
      </c>
      <c r="H39" s="30">
        <f>SUM(G39,F39,E39)</f>
        <v>12462874.41</v>
      </c>
      <c r="J39" s="31">
        <v>145020.39000000001</v>
      </c>
      <c r="L39" s="15"/>
    </row>
    <row r="40" spans="1:12" s="16" customFormat="1" ht="27" x14ac:dyDescent="0.25">
      <c r="A40" s="28" t="s">
        <v>50</v>
      </c>
      <c r="B40" s="32" t="s">
        <v>60</v>
      </c>
      <c r="C40" s="30"/>
      <c r="D40" s="30"/>
      <c r="E40" s="30">
        <v>586802.27</v>
      </c>
      <c r="F40" s="30">
        <f>1545862.6+1675048.09</f>
        <v>3220910.6900000004</v>
      </c>
      <c r="G40" s="30">
        <v>1625911.32</v>
      </c>
      <c r="H40" s="30">
        <f>SUM(C40:F40)</f>
        <v>3807712.9600000004</v>
      </c>
      <c r="J40" s="31">
        <v>36548.01</v>
      </c>
      <c r="L40" s="15"/>
    </row>
    <row r="41" spans="1:12" s="16" customFormat="1" ht="27" x14ac:dyDescent="0.25">
      <c r="A41" s="28" t="s">
        <v>61</v>
      </c>
      <c r="B41" s="32" t="s">
        <v>62</v>
      </c>
      <c r="C41" s="30"/>
      <c r="D41" s="30"/>
      <c r="E41" s="30">
        <v>481121.64</v>
      </c>
      <c r="F41" s="30">
        <f>1264016.57+1347408.4</f>
        <v>2611424.9699999997</v>
      </c>
      <c r="G41" s="30">
        <v>2563701.1800000002</v>
      </c>
      <c r="H41" s="30">
        <f>SUM(E41,F41,G41)</f>
        <v>5656247.79</v>
      </c>
      <c r="J41" s="31">
        <v>57350.37</v>
      </c>
      <c r="L41" s="15"/>
    </row>
    <row r="42" spans="1:12" s="16" customFormat="1" ht="27" x14ac:dyDescent="0.25">
      <c r="A42" s="28" t="s">
        <v>63</v>
      </c>
      <c r="B42" s="29" t="s">
        <v>64</v>
      </c>
      <c r="C42" s="30"/>
      <c r="D42" s="30"/>
      <c r="E42" s="30"/>
      <c r="F42" s="30">
        <v>741424.36</v>
      </c>
      <c r="G42" s="30">
        <v>4608067.32</v>
      </c>
      <c r="H42" s="30">
        <f>SUM(F42,G42)</f>
        <v>5349491.6800000006</v>
      </c>
      <c r="J42" s="31">
        <v>103079.32</v>
      </c>
      <c r="L42" s="15"/>
    </row>
    <row r="43" spans="1:12" s="16" customFormat="1" ht="13.5" x14ac:dyDescent="0.25">
      <c r="A43" s="28" t="s">
        <v>63</v>
      </c>
      <c r="B43" s="29" t="s">
        <v>65</v>
      </c>
      <c r="C43" s="30"/>
      <c r="D43" s="30"/>
      <c r="E43" s="30"/>
      <c r="F43" s="30"/>
      <c r="G43" s="30">
        <v>21420090.68</v>
      </c>
      <c r="H43" s="30">
        <v>21420090.68</v>
      </c>
      <c r="J43" s="31">
        <v>479473.17</v>
      </c>
      <c r="L43" s="15"/>
    </row>
    <row r="44" spans="1:12" s="16" customFormat="1" ht="13.5" x14ac:dyDescent="0.25">
      <c r="A44" s="28" t="s">
        <v>92</v>
      </c>
      <c r="B44" s="29" t="s">
        <v>104</v>
      </c>
      <c r="C44" s="30"/>
      <c r="D44" s="30"/>
      <c r="E44" s="30"/>
      <c r="F44" s="30"/>
      <c r="G44" s="30">
        <f>J44*44.81237</f>
        <v>5568752.5576339997</v>
      </c>
      <c r="H44" s="30">
        <f>G44</f>
        <v>5568752.5576339997</v>
      </c>
      <c r="J44" s="31">
        <v>124268.2</v>
      </c>
      <c r="L44" s="15"/>
    </row>
    <row r="45" spans="1:12" s="16" customFormat="1" ht="13.5" x14ac:dyDescent="0.25">
      <c r="A45" s="28" t="s">
        <v>92</v>
      </c>
      <c r="B45" s="16" t="s">
        <v>105</v>
      </c>
      <c r="C45" s="30"/>
      <c r="D45" s="30"/>
      <c r="E45" s="30"/>
      <c r="F45" s="30"/>
      <c r="G45" s="30">
        <f>J45*44.81237</f>
        <v>5598572.0530031007</v>
      </c>
      <c r="H45" s="30">
        <f>G45</f>
        <v>5598572.0530031007</v>
      </c>
      <c r="J45" s="31">
        <v>124933.63</v>
      </c>
      <c r="L45" s="15"/>
    </row>
    <row r="46" spans="1:12" s="16" customFormat="1" ht="13.5" x14ac:dyDescent="0.25">
      <c r="A46" s="28" t="s">
        <v>97</v>
      </c>
      <c r="B46" s="29" t="s">
        <v>106</v>
      </c>
      <c r="C46" s="30"/>
      <c r="D46" s="30"/>
      <c r="E46" s="30"/>
      <c r="F46" s="30"/>
      <c r="G46" s="30">
        <f>J46*44.81237</f>
        <v>2166653.4426965001</v>
      </c>
      <c r="H46" s="30">
        <f>G46</f>
        <v>2166653.4426965001</v>
      </c>
      <c r="J46" s="31">
        <v>48349.45</v>
      </c>
      <c r="L46" s="15"/>
    </row>
    <row r="47" spans="1:12" s="16" customFormat="1" ht="23.25" customHeight="1" x14ac:dyDescent="0.25">
      <c r="A47" s="28"/>
      <c r="B47" s="41" t="s">
        <v>35</v>
      </c>
      <c r="C47" s="35"/>
      <c r="D47" s="35">
        <f>SUM(D33:D42)</f>
        <v>4827022.66</v>
      </c>
      <c r="E47" s="35">
        <f>SUM(E33:E42)</f>
        <v>27975334.299999997</v>
      </c>
      <c r="F47" s="35">
        <f>SUM(F33:F42)</f>
        <v>46831237.600000001</v>
      </c>
      <c r="G47" s="35">
        <f>SUM(G34,G35,G36,G37,G38,G40,G39,G41,G42,G43,G44,G45,G46)</f>
        <v>83734550.313333586</v>
      </c>
      <c r="H47" s="35">
        <f>SUM(H33,H34,H35,H36,H37,H38,H39,H40,H41,H42,H43,H44,H45,H46)</f>
        <v>161742233.55333361</v>
      </c>
      <c r="J47" s="36">
        <f>SUM(J33:J46)</f>
        <v>1872753.6199999999</v>
      </c>
      <c r="L47" s="15"/>
    </row>
    <row r="48" spans="1:12" s="16" customFormat="1" ht="13.5" x14ac:dyDescent="0.25">
      <c r="A48" s="28"/>
      <c r="B48" s="37" t="s">
        <v>66</v>
      </c>
      <c r="C48" s="38"/>
      <c r="D48" s="38"/>
      <c r="E48" s="38"/>
      <c r="F48" s="38"/>
      <c r="G48" s="38"/>
      <c r="H48" s="38"/>
      <c r="J48" s="31"/>
      <c r="L48" s="15"/>
    </row>
    <row r="49" spans="1:22" s="16" customFormat="1" ht="13.5" x14ac:dyDescent="0.25">
      <c r="A49" s="28" t="s">
        <v>67</v>
      </c>
      <c r="B49" s="32" t="s">
        <v>68</v>
      </c>
      <c r="C49" s="30">
        <v>5964077.8099999996</v>
      </c>
      <c r="D49" s="30">
        <f>6580049.95+5057964.09</f>
        <v>11638014.039999999</v>
      </c>
      <c r="E49" s="30">
        <f>3705608.45+2396455.86</f>
        <v>6102064.3100000005</v>
      </c>
      <c r="F49" s="30">
        <v>2810479.51</v>
      </c>
      <c r="G49" s="30">
        <v>1240740.99</v>
      </c>
      <c r="H49" s="30">
        <f>SUM(C49,D49,E49,F49,G49)</f>
        <v>27755376.659999993</v>
      </c>
      <c r="J49" s="31">
        <v>27518.06</v>
      </c>
      <c r="K49" s="23" t="s">
        <v>111</v>
      </c>
      <c r="L49" s="15"/>
    </row>
    <row r="50" spans="1:22" s="16" customFormat="1" ht="27" x14ac:dyDescent="0.25">
      <c r="A50" s="28" t="s">
        <v>69</v>
      </c>
      <c r="B50" s="32" t="s">
        <v>70</v>
      </c>
      <c r="C50" s="30">
        <v>127971980.3</v>
      </c>
      <c r="D50" s="30">
        <f>58043838.35+55517768.03</f>
        <v>113561606.38</v>
      </c>
      <c r="E50" s="30">
        <f>49934922.34+45152856.59</f>
        <v>95087778.930000007</v>
      </c>
      <c r="F50" s="30">
        <f>29652880.51+27223507.04</f>
        <v>56876387.549999997</v>
      </c>
      <c r="G50" s="30">
        <v>24643415.050000001</v>
      </c>
      <c r="H50" s="30">
        <f>SUM(C50,D50,E50,F50,G50)</f>
        <v>418141168.21000004</v>
      </c>
      <c r="J50" s="31">
        <v>553150.66</v>
      </c>
      <c r="L50" s="15"/>
    </row>
    <row r="51" spans="1:22" s="16" customFormat="1" ht="13.5" x14ac:dyDescent="0.25">
      <c r="A51" s="28" t="s">
        <v>71</v>
      </c>
      <c r="B51" s="32" t="s">
        <v>72</v>
      </c>
      <c r="C51" s="30"/>
      <c r="D51" s="30"/>
      <c r="E51" s="30">
        <f>587356.61+593316.89+581655.34</f>
        <v>1762328.8399999999</v>
      </c>
      <c r="F51" s="30">
        <v>758898.64</v>
      </c>
      <c r="G51" s="30">
        <v>30735.72</v>
      </c>
      <c r="H51" s="30">
        <f>SUM(E51,F51,G51)</f>
        <v>2551963.2000000002</v>
      </c>
      <c r="J51" s="31">
        <v>690.99</v>
      </c>
      <c r="K51" s="23" t="s">
        <v>112</v>
      </c>
      <c r="L51" s="15"/>
    </row>
    <row r="52" spans="1:22" s="16" customFormat="1" ht="13.5" x14ac:dyDescent="0.25">
      <c r="A52" s="28" t="s">
        <v>63</v>
      </c>
      <c r="B52" s="32" t="s">
        <v>73</v>
      </c>
      <c r="C52" s="30">
        <v>89356301.430000007</v>
      </c>
      <c r="D52" s="30">
        <f>48072576.47+50751567.28</f>
        <v>98824143.75</v>
      </c>
      <c r="E52" s="30">
        <f>40815409.91+39480709.63</f>
        <v>80296119.539999992</v>
      </c>
      <c r="F52" s="30">
        <v>29825971.120000001</v>
      </c>
      <c r="G52" s="63"/>
      <c r="H52" s="30">
        <f>SUM(C52:F52)</f>
        <v>298302535.84000003</v>
      </c>
      <c r="J52" s="31"/>
      <c r="L52" s="15"/>
    </row>
    <row r="53" spans="1:22" s="16" customFormat="1" ht="13.5" x14ac:dyDescent="0.25">
      <c r="A53" s="28" t="s">
        <v>50</v>
      </c>
      <c r="B53" s="32" t="s">
        <v>74</v>
      </c>
      <c r="C53" s="30">
        <v>112363604.5</v>
      </c>
      <c r="D53" s="30">
        <f>20989426.5+19788116.78</f>
        <v>40777543.280000001</v>
      </c>
      <c r="E53" s="30">
        <f>14364229.01+14592304.58</f>
        <v>28956533.59</v>
      </c>
      <c r="F53" s="30">
        <f>10033115.97+10230783.83</f>
        <v>20263899.800000001</v>
      </c>
      <c r="G53" s="63">
        <v>9270902.4499999993</v>
      </c>
      <c r="H53" s="30">
        <f>SUM(C53,D53,E53,F53,G53)</f>
        <v>211632483.62</v>
      </c>
      <c r="J53" s="31">
        <v>207268.27</v>
      </c>
      <c r="L53" s="15"/>
    </row>
    <row r="54" spans="1:22" s="16" customFormat="1" ht="13.5" x14ac:dyDescent="0.25">
      <c r="A54" s="28" t="s">
        <v>50</v>
      </c>
      <c r="B54" s="32" t="s">
        <v>75</v>
      </c>
      <c r="C54" s="30">
        <v>241998.85</v>
      </c>
      <c r="D54" s="30">
        <f>421401.3+137881.8</f>
        <v>559283.1</v>
      </c>
      <c r="E54" s="30">
        <f>61179.85+37843.61</f>
        <v>99023.459999999992</v>
      </c>
      <c r="F54" s="30">
        <v>6522.19</v>
      </c>
      <c r="G54" s="63">
        <v>3657.57</v>
      </c>
      <c r="H54" s="30">
        <f>SUM(G54,F54,E54,D54,C54)</f>
        <v>910485.16999999993</v>
      </c>
      <c r="J54" s="31">
        <v>81.2</v>
      </c>
      <c r="K54" s="23" t="s">
        <v>111</v>
      </c>
      <c r="L54" s="15"/>
    </row>
    <row r="55" spans="1:22" s="16" customFormat="1" ht="13.5" x14ac:dyDescent="0.25">
      <c r="A55" s="28" t="s">
        <v>76</v>
      </c>
      <c r="B55" s="29" t="s">
        <v>77</v>
      </c>
      <c r="C55" s="30">
        <v>4375695.1899999995</v>
      </c>
      <c r="D55" s="30">
        <f>716278.33+637587.68</f>
        <v>1353866.01</v>
      </c>
      <c r="E55" s="30">
        <f>522020.42+459016.46</f>
        <v>981036.88</v>
      </c>
      <c r="F55" s="30">
        <f>414927.12+296961.32</f>
        <v>711888.44</v>
      </c>
      <c r="G55" s="63"/>
      <c r="H55" s="30">
        <f>SUM(C55:F55)</f>
        <v>7422486.5199999996</v>
      </c>
      <c r="J55" s="31"/>
      <c r="L55" s="15"/>
    </row>
    <row r="56" spans="1:22" s="16" customFormat="1" ht="13.5" x14ac:dyDescent="0.25">
      <c r="A56" s="28" t="s">
        <v>76</v>
      </c>
      <c r="B56" s="29" t="s">
        <v>77</v>
      </c>
      <c r="C56" s="30">
        <v>948961.34</v>
      </c>
      <c r="D56" s="30">
        <f>230662.6+187672.28</f>
        <v>418334.88</v>
      </c>
      <c r="E56" s="30"/>
      <c r="F56" s="30">
        <f>109042.7+90263.16</f>
        <v>199305.86</v>
      </c>
      <c r="G56" s="63"/>
      <c r="H56" s="30">
        <f>SUM(C56:F56)</f>
        <v>1566602.08</v>
      </c>
      <c r="J56" s="31"/>
      <c r="L56" s="15"/>
    </row>
    <row r="57" spans="1:22" s="16" customFormat="1" ht="13.5" x14ac:dyDescent="0.25">
      <c r="A57" s="28" t="s">
        <v>53</v>
      </c>
      <c r="B57" s="29" t="s">
        <v>78</v>
      </c>
      <c r="C57" s="30"/>
      <c r="D57" s="30"/>
      <c r="E57" s="30"/>
      <c r="F57" s="30"/>
      <c r="G57" s="63">
        <v>16.489999999999998</v>
      </c>
      <c r="H57" s="30">
        <v>16.489999999999998</v>
      </c>
      <c r="J57" s="31">
        <v>0.37</v>
      </c>
      <c r="K57" s="23" t="s">
        <v>111</v>
      </c>
      <c r="L57" s="15"/>
    </row>
    <row r="58" spans="1:22" s="16" customFormat="1" ht="13.5" x14ac:dyDescent="0.25">
      <c r="A58" s="28" t="s">
        <v>79</v>
      </c>
      <c r="B58" s="29" t="s">
        <v>80</v>
      </c>
      <c r="C58" s="30"/>
      <c r="D58" s="30"/>
      <c r="E58" s="30"/>
      <c r="F58" s="30"/>
      <c r="G58" s="63">
        <v>338129.17</v>
      </c>
      <c r="H58" s="30">
        <v>338129.17</v>
      </c>
      <c r="J58" s="31">
        <v>7673.62</v>
      </c>
      <c r="L58" s="15"/>
    </row>
    <row r="59" spans="1:22" s="16" customFormat="1" ht="13.5" x14ac:dyDescent="0.25">
      <c r="A59" s="28" t="s">
        <v>53</v>
      </c>
      <c r="B59" s="29" t="s">
        <v>81</v>
      </c>
      <c r="C59" s="30"/>
      <c r="D59" s="30"/>
      <c r="E59" s="30"/>
      <c r="F59" s="30"/>
      <c r="G59" s="30">
        <v>139518.54999999999</v>
      </c>
      <c r="H59" s="30">
        <v>139518.54999999999</v>
      </c>
      <c r="J59" s="31">
        <v>3158.51</v>
      </c>
      <c r="L59" s="15"/>
    </row>
    <row r="60" spans="1:22" s="16" customFormat="1" ht="13.5" x14ac:dyDescent="0.25">
      <c r="A60" s="28"/>
      <c r="B60" s="40" t="s">
        <v>35</v>
      </c>
      <c r="C60" s="35">
        <f>SUM(C49:C56)</f>
        <v>341222619.42000002</v>
      </c>
      <c r="D60" s="35">
        <f>SUM(D49:D56)</f>
        <v>267132791.43999997</v>
      </c>
      <c r="E60" s="35">
        <f>SUM(E49:E56)</f>
        <v>213284885.55000001</v>
      </c>
      <c r="F60" s="35">
        <f>SUM(F49:F56)-0.01</f>
        <v>111453353.09999998</v>
      </c>
      <c r="G60" s="35">
        <f>SUM(G49,G50,G51,G53,G54,G57,G58,G59)</f>
        <v>35667115.989999995</v>
      </c>
      <c r="H60" s="35">
        <f>SUM(H49,H50,H51,H52,H53,H54,H55,H56,H57,H58,H59)</f>
        <v>968760765.50999999</v>
      </c>
      <c r="J60" s="36">
        <f>SUM(J49:J59)</f>
        <v>799541.68</v>
      </c>
      <c r="L60" s="15"/>
    </row>
    <row r="61" spans="1:22" s="16" customFormat="1" ht="13.5" x14ac:dyDescent="0.25">
      <c r="A61" s="28"/>
      <c r="B61" s="32"/>
      <c r="C61" s="30"/>
      <c r="D61" s="30"/>
      <c r="E61" s="30"/>
      <c r="F61" s="30"/>
      <c r="G61" s="30"/>
      <c r="H61" s="30"/>
      <c r="J61" s="31"/>
      <c r="L61" s="15"/>
    </row>
    <row r="62" spans="1:22" s="23" customFormat="1" ht="12.75" x14ac:dyDescent="0.2">
      <c r="A62" s="24"/>
      <c r="B62" s="40" t="s">
        <v>82</v>
      </c>
      <c r="C62" s="42">
        <f>SUM(C60+C47+C31+C23)</f>
        <v>494550115.88</v>
      </c>
      <c r="D62" s="42">
        <f>SUM(D60+D47+D31+D23)</f>
        <v>305003592.99000001</v>
      </c>
      <c r="E62" s="42">
        <f>SUM(E60+E47+E31+E23)</f>
        <v>283637123.32000005</v>
      </c>
      <c r="F62" s="42">
        <f>SUM(F60+F47+F31+F23)</f>
        <v>196997956.78999996</v>
      </c>
      <c r="G62" s="42">
        <f>SUM(G23,G31,G47,G60)</f>
        <v>205003719.14475846</v>
      </c>
      <c r="H62" s="42">
        <f>SUM(H60+H47+H31+H23)</f>
        <v>1483566576.8147583</v>
      </c>
      <c r="J62" s="36">
        <f>SUM(J60,J47,J31,J23)</f>
        <v>4603460.96</v>
      </c>
      <c r="L62" s="22"/>
    </row>
    <row r="63" spans="1:22" s="16" customFormat="1" ht="13.5" x14ac:dyDescent="0.25">
      <c r="A63" s="10"/>
      <c r="B63" s="43"/>
      <c r="C63" s="14"/>
      <c r="D63" s="13"/>
      <c r="E63" s="13"/>
      <c r="F63" s="13"/>
      <c r="G63" s="13"/>
      <c r="H63" s="13"/>
      <c r="I63" s="13"/>
      <c r="J63" s="10"/>
      <c r="K63" s="13"/>
      <c r="L63" s="13"/>
      <c r="M63" s="14"/>
      <c r="N63" s="15"/>
      <c r="O63" s="15"/>
      <c r="P63" s="15"/>
      <c r="Q63" s="15"/>
      <c r="R63" s="15"/>
      <c r="V63" s="15"/>
    </row>
    <row r="64" spans="1:22" x14ac:dyDescent="0.25">
      <c r="J64" s="44"/>
      <c r="P64" s="48"/>
      <c r="Q64" s="48"/>
      <c r="R64" s="48"/>
    </row>
    <row r="65" spans="4:18" x14ac:dyDescent="0.25">
      <c r="D65" s="50"/>
      <c r="E65" s="50"/>
      <c r="F65" s="51"/>
      <c r="G65" s="51"/>
      <c r="H65" s="52"/>
      <c r="J65" s="44"/>
      <c r="P65" s="48"/>
      <c r="Q65" s="48"/>
      <c r="R65" s="48"/>
    </row>
    <row r="66" spans="4:18" x14ac:dyDescent="0.25">
      <c r="J66" s="44"/>
      <c r="P66" s="48"/>
      <c r="R66" s="48"/>
    </row>
    <row r="67" spans="4:18" x14ac:dyDescent="0.25">
      <c r="D67" s="51"/>
      <c r="E67" s="51"/>
      <c r="F67" s="51"/>
      <c r="G67" s="51"/>
      <c r="H67" s="51"/>
      <c r="I67" s="51"/>
      <c r="J67" s="44"/>
      <c r="K67" s="51"/>
      <c r="P67" s="48"/>
    </row>
    <row r="68" spans="4:18" x14ac:dyDescent="0.25">
      <c r="J68" s="44"/>
      <c r="P68" s="48"/>
    </row>
    <row r="69" spans="4:18" x14ac:dyDescent="0.25">
      <c r="J69" s="44"/>
      <c r="P69" s="48"/>
    </row>
  </sheetData>
  <autoFilter ref="B8:I60"/>
  <mergeCells count="4">
    <mergeCell ref="B3:H3"/>
    <mergeCell ref="B4:H4"/>
    <mergeCell ref="B5:H5"/>
    <mergeCell ref="B6:H6"/>
  </mergeCells>
  <printOptions horizontalCentered="1"/>
  <pageMargins left="0.5" right="0.5" top="0.5" bottom="0.5" header="0.5" footer="0.5"/>
  <pageSetup paperSize="9" scale="7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32"/>
  <sheetViews>
    <sheetView view="pageBreakPreview" zoomScaleNormal="100" zoomScaleSheetLayoutView="100" workbookViewId="0">
      <selection activeCell="A7" sqref="A7:G9"/>
    </sheetView>
  </sheetViews>
  <sheetFormatPr defaultRowHeight="13.5" x14ac:dyDescent="0.25"/>
  <cols>
    <col min="1" max="1" width="16.28515625" style="1" customWidth="1"/>
    <col min="2" max="2" width="14.28515625" style="1" customWidth="1"/>
    <col min="3" max="3" width="14" style="1" customWidth="1"/>
    <col min="4" max="4" width="11.7109375" style="1" customWidth="1"/>
    <col min="5" max="5" width="13.140625" style="1" customWidth="1"/>
    <col min="6" max="6" width="12.7109375" style="1" customWidth="1"/>
    <col min="7" max="7" width="12.140625" style="1" customWidth="1"/>
    <col min="8" max="8" width="12.5703125" style="1" customWidth="1"/>
    <col min="9" max="16384" width="9.140625" style="1"/>
  </cols>
  <sheetData>
    <row r="1" spans="1:7" x14ac:dyDescent="0.25">
      <c r="G1" s="66" t="s">
        <v>119</v>
      </c>
    </row>
    <row r="2" spans="1:7" x14ac:dyDescent="0.25">
      <c r="A2" s="79" t="s">
        <v>109</v>
      </c>
      <c r="B2" s="79"/>
      <c r="C2" s="79"/>
      <c r="D2" s="79"/>
      <c r="E2" s="79"/>
      <c r="F2" s="79"/>
      <c r="G2" s="79"/>
    </row>
    <row r="3" spans="1:7" s="54" customFormat="1" ht="15" customHeight="1" x14ac:dyDescent="0.2">
      <c r="A3" s="79" t="s">
        <v>83</v>
      </c>
      <c r="B3" s="79"/>
      <c r="C3" s="79"/>
      <c r="D3" s="79"/>
      <c r="E3" s="79"/>
      <c r="F3" s="79"/>
      <c r="G3" s="79"/>
    </row>
    <row r="4" spans="1:7" s="54" customFormat="1" ht="15" customHeight="1" x14ac:dyDescent="0.2">
      <c r="A4" s="79" t="s">
        <v>113</v>
      </c>
      <c r="B4" s="79"/>
      <c r="C4" s="79"/>
      <c r="D4" s="79"/>
      <c r="E4" s="79"/>
      <c r="F4" s="79"/>
      <c r="G4" s="79"/>
    </row>
    <row r="5" spans="1:7" s="54" customFormat="1" ht="15" customHeight="1" x14ac:dyDescent="0.2">
      <c r="A5" s="79" t="s">
        <v>114</v>
      </c>
      <c r="B5" s="79"/>
      <c r="C5" s="79"/>
      <c r="D5" s="79"/>
      <c r="E5" s="79"/>
      <c r="F5" s="79"/>
      <c r="G5" s="79"/>
    </row>
    <row r="6" spans="1:7" s="54" customFormat="1" ht="15" customHeight="1" x14ac:dyDescent="0.2">
      <c r="A6" s="2"/>
      <c r="B6" s="2"/>
      <c r="C6" s="2"/>
      <c r="D6" s="2"/>
      <c r="E6" s="2"/>
    </row>
    <row r="7" spans="1:7" x14ac:dyDescent="0.25">
      <c r="A7" s="90" t="s">
        <v>84</v>
      </c>
      <c r="B7" s="92" t="s">
        <v>10</v>
      </c>
      <c r="C7" s="92"/>
      <c r="D7" s="83" t="s">
        <v>11</v>
      </c>
      <c r="E7" s="83"/>
      <c r="F7" s="83" t="s">
        <v>12</v>
      </c>
      <c r="G7" s="83"/>
    </row>
    <row r="8" spans="1:7" ht="15" customHeight="1" x14ac:dyDescent="0.25">
      <c r="A8" s="91"/>
      <c r="B8" s="84" t="s">
        <v>85</v>
      </c>
      <c r="C8" s="85" t="s">
        <v>86</v>
      </c>
      <c r="D8" s="87" t="s">
        <v>85</v>
      </c>
      <c r="E8" s="88" t="s">
        <v>87</v>
      </c>
      <c r="F8" s="87" t="s">
        <v>85</v>
      </c>
      <c r="G8" s="88" t="s">
        <v>87</v>
      </c>
    </row>
    <row r="9" spans="1:7" ht="15.75" customHeight="1" x14ac:dyDescent="0.25">
      <c r="A9" s="91"/>
      <c r="B9" s="84"/>
      <c r="C9" s="86"/>
      <c r="D9" s="87"/>
      <c r="E9" s="89"/>
      <c r="F9" s="87"/>
      <c r="G9" s="89"/>
    </row>
    <row r="10" spans="1:7" x14ac:dyDescent="0.25">
      <c r="A10" s="55" t="s">
        <v>88</v>
      </c>
      <c r="B10" s="58" t="s">
        <v>89</v>
      </c>
      <c r="C10" s="58" t="s">
        <v>89</v>
      </c>
      <c r="D10" s="58" t="s">
        <v>89</v>
      </c>
      <c r="E10" s="58" t="s">
        <v>89</v>
      </c>
      <c r="F10" s="57"/>
      <c r="G10" s="59"/>
    </row>
    <row r="11" spans="1:7" x14ac:dyDescent="0.25">
      <c r="A11" s="55" t="s">
        <v>90</v>
      </c>
      <c r="B11" s="58">
        <v>1.7999999999999999E-2</v>
      </c>
      <c r="C11" s="58">
        <v>0.27</v>
      </c>
      <c r="D11" s="58">
        <v>1.2800000000000001E-2</v>
      </c>
      <c r="E11" s="58">
        <v>0.27</v>
      </c>
      <c r="F11" s="58">
        <v>1.1697599999999999E-3</v>
      </c>
      <c r="G11" s="59">
        <f>F11/$F$32*100</f>
        <v>2.5410448881457683E-2</v>
      </c>
    </row>
    <row r="12" spans="1:7" x14ac:dyDescent="0.25">
      <c r="A12" s="55" t="s">
        <v>91</v>
      </c>
      <c r="B12" s="58">
        <v>0.20599999999999999</v>
      </c>
      <c r="C12" s="58">
        <v>3.02</v>
      </c>
      <c r="D12" s="58">
        <v>3.4299999999999997E-2</v>
      </c>
      <c r="E12" s="58">
        <v>0.73</v>
      </c>
      <c r="F12" s="58">
        <v>4.3874950000000003E-2</v>
      </c>
      <c r="G12" s="59">
        <f>F12/$F$32*100</f>
        <v>0.95308625201025143</v>
      </c>
    </row>
    <row r="13" spans="1:7" x14ac:dyDescent="0.25">
      <c r="A13" s="55" t="s">
        <v>69</v>
      </c>
      <c r="B13" s="58">
        <v>2.298</v>
      </c>
      <c r="C13" s="58">
        <v>33.75</v>
      </c>
      <c r="D13" s="58">
        <v>1.498</v>
      </c>
      <c r="E13" s="58">
        <v>32.06</v>
      </c>
      <c r="F13" s="58">
        <v>0.68461691000000002</v>
      </c>
      <c r="G13" s="59">
        <f t="shared" ref="G13:G32" si="0">F13/$F$32*100</f>
        <v>14.871788225735633</v>
      </c>
    </row>
    <row r="14" spans="1:7" x14ac:dyDescent="0.25">
      <c r="A14" s="55" t="s">
        <v>92</v>
      </c>
      <c r="B14" s="58" t="s">
        <v>89</v>
      </c>
      <c r="C14" s="58" t="s">
        <v>89</v>
      </c>
      <c r="D14" s="58" t="s">
        <v>89</v>
      </c>
      <c r="E14" s="58" t="s">
        <v>89</v>
      </c>
      <c r="F14" s="58">
        <v>0.27927259999999998</v>
      </c>
      <c r="G14" s="59">
        <f t="shared" si="0"/>
        <v>6.0665795772566842</v>
      </c>
    </row>
    <row r="15" spans="1:7" x14ac:dyDescent="0.25">
      <c r="A15" s="55" t="s">
        <v>53</v>
      </c>
      <c r="B15" s="58">
        <v>0.17599999999999999</v>
      </c>
      <c r="C15" s="58">
        <v>2.58</v>
      </c>
      <c r="D15" s="58">
        <v>0.25359999999999999</v>
      </c>
      <c r="E15" s="58">
        <v>5.43</v>
      </c>
      <c r="F15" s="58">
        <v>0.29279871000000002</v>
      </c>
      <c r="G15" s="59">
        <f t="shared" si="0"/>
        <v>6.3604044017676724</v>
      </c>
    </row>
    <row r="16" spans="1:7" x14ac:dyDescent="0.25">
      <c r="A16" s="55" t="s">
        <v>93</v>
      </c>
      <c r="B16" s="58">
        <v>2.5000000000000001E-2</v>
      </c>
      <c r="C16" s="58">
        <v>0.36</v>
      </c>
      <c r="D16" s="58">
        <v>1.8E-3</v>
      </c>
      <c r="E16" s="58">
        <v>0.04</v>
      </c>
      <c r="F16" s="58">
        <v>0</v>
      </c>
      <c r="G16" s="59">
        <f t="shared" si="0"/>
        <v>0</v>
      </c>
    </row>
    <row r="17" spans="1:9" x14ac:dyDescent="0.25">
      <c r="A17" s="55" t="s">
        <v>71</v>
      </c>
      <c r="B17" s="58" t="s">
        <v>89</v>
      </c>
      <c r="C17" s="58" t="s">
        <v>89</v>
      </c>
      <c r="D17" s="58">
        <v>1.7999999999999999E-2</v>
      </c>
      <c r="E17" s="58">
        <v>0.39</v>
      </c>
      <c r="F17" s="58">
        <v>6.9099000000000005E-4</v>
      </c>
      <c r="G17" s="59">
        <f t="shared" si="0"/>
        <v>1.5010229510838502E-2</v>
      </c>
    </row>
    <row r="18" spans="1:9" x14ac:dyDescent="0.25">
      <c r="A18" s="55" t="s">
        <v>94</v>
      </c>
      <c r="B18" s="58">
        <v>0.02</v>
      </c>
      <c r="C18" s="58">
        <v>0.28999999999999998</v>
      </c>
      <c r="D18" s="58">
        <v>1.61E-2</v>
      </c>
      <c r="E18" s="58">
        <v>0.34</v>
      </c>
      <c r="F18" s="58">
        <v>0.46486869000000003</v>
      </c>
      <c r="G18" s="59">
        <f t="shared" si="0"/>
        <v>10.098244155925316</v>
      </c>
    </row>
    <row r="19" spans="1:9" x14ac:dyDescent="0.25">
      <c r="A19" s="55" t="s">
        <v>95</v>
      </c>
      <c r="B19" s="58">
        <v>0</v>
      </c>
      <c r="C19" s="58">
        <v>0</v>
      </c>
      <c r="D19" s="58">
        <v>0.1268</v>
      </c>
      <c r="E19" s="58">
        <v>2.71</v>
      </c>
      <c r="F19" s="58">
        <v>0.47458114000000001</v>
      </c>
      <c r="G19" s="59">
        <f t="shared" si="0"/>
        <v>10.309225651478862</v>
      </c>
    </row>
    <row r="20" spans="1:9" x14ac:dyDescent="0.25">
      <c r="A20" s="55" t="s">
        <v>79</v>
      </c>
      <c r="B20" s="58">
        <v>0.09</v>
      </c>
      <c r="C20" s="58">
        <v>1.32</v>
      </c>
      <c r="D20" s="58">
        <v>4.0000000000000001E-3</v>
      </c>
      <c r="E20" s="58">
        <v>0.09</v>
      </c>
      <c r="F20" s="58">
        <v>1.452849E-2</v>
      </c>
      <c r="G20" s="59">
        <f t="shared" si="0"/>
        <v>0.31559931308111844</v>
      </c>
    </row>
    <row r="21" spans="1:9" x14ac:dyDescent="0.25">
      <c r="A21" s="55" t="s">
        <v>63</v>
      </c>
      <c r="B21" s="58">
        <v>1.944</v>
      </c>
      <c r="C21" s="58">
        <v>28.56</v>
      </c>
      <c r="D21" s="58">
        <v>0.73499999999999999</v>
      </c>
      <c r="E21" s="58">
        <v>15.73</v>
      </c>
      <c r="F21" s="58">
        <v>0.58255248999999998</v>
      </c>
      <c r="G21" s="59">
        <f t="shared" si="0"/>
        <v>12.654664433653814</v>
      </c>
    </row>
    <row r="22" spans="1:9" x14ac:dyDescent="0.25">
      <c r="A22" s="55" t="s">
        <v>50</v>
      </c>
      <c r="B22" s="58">
        <v>1.3640000000000001</v>
      </c>
      <c r="C22" s="58">
        <v>20.03</v>
      </c>
      <c r="D22" s="58">
        <v>1.4513</v>
      </c>
      <c r="E22" s="58">
        <v>31.06</v>
      </c>
      <c r="F22" s="58">
        <v>1.0974375999999999</v>
      </c>
      <c r="G22" s="59">
        <f t="shared" si="0"/>
        <v>23.839404694458352</v>
      </c>
    </row>
    <row r="23" spans="1:9" x14ac:dyDescent="0.25">
      <c r="A23" s="55" t="s">
        <v>24</v>
      </c>
      <c r="B23" s="58">
        <v>0.50600000000000001</v>
      </c>
      <c r="C23" s="58">
        <v>7.43</v>
      </c>
      <c r="D23" s="58">
        <v>0.36520000000000002</v>
      </c>
      <c r="E23" s="58">
        <v>7.82</v>
      </c>
      <c r="F23" s="58">
        <v>0.53385037999999996</v>
      </c>
      <c r="G23" s="59">
        <f t="shared" si="0"/>
        <v>11.596718806709717</v>
      </c>
    </row>
    <row r="24" spans="1:9" x14ac:dyDescent="0.25">
      <c r="A24" s="55" t="s">
        <v>96</v>
      </c>
      <c r="B24" s="58" t="s">
        <v>89</v>
      </c>
      <c r="C24" s="58" t="s">
        <v>89</v>
      </c>
      <c r="D24" s="58">
        <v>9.4999999999999998E-3</v>
      </c>
      <c r="E24" s="58">
        <v>0.2</v>
      </c>
      <c r="F24" s="58">
        <v>0</v>
      </c>
      <c r="G24" s="59">
        <f t="shared" si="0"/>
        <v>0</v>
      </c>
    </row>
    <row r="25" spans="1:9" x14ac:dyDescent="0.25">
      <c r="A25" s="55" t="s">
        <v>97</v>
      </c>
      <c r="B25" s="58" t="s">
        <v>89</v>
      </c>
      <c r="C25" s="58" t="s">
        <v>89</v>
      </c>
      <c r="D25" s="58" t="s">
        <v>89</v>
      </c>
      <c r="E25" s="58" t="s">
        <v>89</v>
      </c>
      <c r="F25" s="58">
        <v>4.8349450000000002E-2</v>
      </c>
      <c r="G25" s="59">
        <f t="shared" si="0"/>
        <v>1.0502848684102672</v>
      </c>
    </row>
    <row r="26" spans="1:9" x14ac:dyDescent="0.25">
      <c r="A26" s="55" t="s">
        <v>98</v>
      </c>
      <c r="B26" s="58" t="s">
        <v>89</v>
      </c>
      <c r="C26" s="58" t="s">
        <v>89</v>
      </c>
      <c r="D26" s="58" t="s">
        <v>89</v>
      </c>
      <c r="E26" s="58" t="s">
        <v>89</v>
      </c>
      <c r="F26" s="58">
        <v>0</v>
      </c>
      <c r="G26" s="59">
        <f t="shared" si="0"/>
        <v>0</v>
      </c>
    </row>
    <row r="27" spans="1:9" x14ac:dyDescent="0.25">
      <c r="A27" s="55" t="s">
        <v>99</v>
      </c>
      <c r="B27" s="58">
        <v>0.155</v>
      </c>
      <c r="C27" s="58">
        <v>2.27</v>
      </c>
      <c r="D27" s="58">
        <v>0.12920000000000001</v>
      </c>
      <c r="E27" s="58">
        <v>2.76</v>
      </c>
      <c r="F27" s="58">
        <v>8.4868429999999995E-2</v>
      </c>
      <c r="G27" s="59">
        <f t="shared" si="0"/>
        <v>1.8435789411200327</v>
      </c>
      <c r="I27" s="3"/>
    </row>
    <row r="28" spans="1:9" x14ac:dyDescent="0.25">
      <c r="A28" s="55" t="s">
        <v>100</v>
      </c>
      <c r="B28" s="58" t="s">
        <v>89</v>
      </c>
      <c r="C28" s="58" t="s">
        <v>89</v>
      </c>
      <c r="D28" s="58" t="s">
        <v>89</v>
      </c>
      <c r="E28" s="58" t="s">
        <v>89</v>
      </c>
      <c r="F28" s="58">
        <v>0</v>
      </c>
      <c r="G28" s="59">
        <f t="shared" si="0"/>
        <v>0</v>
      </c>
      <c r="I28" s="3"/>
    </row>
    <row r="29" spans="1:9" x14ac:dyDescent="0.25">
      <c r="A29" s="55" t="s">
        <v>101</v>
      </c>
      <c r="B29" s="58" t="s">
        <v>89</v>
      </c>
      <c r="C29" s="58" t="s">
        <v>89</v>
      </c>
      <c r="D29" s="58" t="s">
        <v>89</v>
      </c>
      <c r="E29" s="58" t="s">
        <v>89</v>
      </c>
      <c r="F29" s="58">
        <v>0</v>
      </c>
      <c r="G29" s="59">
        <f t="shared" si="0"/>
        <v>0</v>
      </c>
    </row>
    <row r="30" spans="1:9" x14ac:dyDescent="0.25">
      <c r="A30" s="55" t="s">
        <v>102</v>
      </c>
      <c r="B30" s="58">
        <v>8.0000000000000002E-3</v>
      </c>
      <c r="C30" s="58">
        <v>0.12</v>
      </c>
      <c r="D30" s="58">
        <v>1.1999999999999999E-3</v>
      </c>
      <c r="E30" s="58">
        <v>0.03</v>
      </c>
      <c r="F30" s="58">
        <v>0</v>
      </c>
      <c r="G30" s="59">
        <f t="shared" si="0"/>
        <v>0</v>
      </c>
    </row>
    <row r="31" spans="1:9" x14ac:dyDescent="0.25">
      <c r="A31" s="55" t="s">
        <v>76</v>
      </c>
      <c r="B31" s="58" t="s">
        <v>89</v>
      </c>
      <c r="C31" s="58" t="s">
        <v>89</v>
      </c>
      <c r="D31" s="58">
        <v>1.61E-2</v>
      </c>
      <c r="E31" s="58">
        <v>0.34</v>
      </c>
      <c r="F31" s="58">
        <v>0</v>
      </c>
      <c r="G31" s="59">
        <f t="shared" si="0"/>
        <v>0</v>
      </c>
    </row>
    <row r="32" spans="1:9" x14ac:dyDescent="0.25">
      <c r="A32" s="56" t="s">
        <v>103</v>
      </c>
      <c r="B32" s="60">
        <v>6.8079999999999998</v>
      </c>
      <c r="C32" s="61">
        <v>100</v>
      </c>
      <c r="D32" s="60">
        <v>4.6729000000000003</v>
      </c>
      <c r="E32" s="61">
        <v>100</v>
      </c>
      <c r="F32" s="65">
        <f>SUM(F11,F12,F13,F15,F17,F18,F19,F21,F20,F22,F23,F27,F14,F25)</f>
        <v>4.6034605899999992</v>
      </c>
      <c r="G32" s="62">
        <f t="shared" si="0"/>
        <v>100</v>
      </c>
    </row>
  </sheetData>
  <mergeCells count="14">
    <mergeCell ref="A2:G2"/>
    <mergeCell ref="F7:G7"/>
    <mergeCell ref="B8:B9"/>
    <mergeCell ref="C8:C9"/>
    <mergeCell ref="D8:D9"/>
    <mergeCell ref="E8:E9"/>
    <mergeCell ref="F8:F9"/>
    <mergeCell ref="G8:G9"/>
    <mergeCell ref="A7:A9"/>
    <mergeCell ref="B7:C7"/>
    <mergeCell ref="D7:E7"/>
    <mergeCell ref="A3:G3"/>
    <mergeCell ref="A4:G4"/>
    <mergeCell ref="A5:G5"/>
  </mergeCells>
  <printOptions horizontalCentered="1"/>
  <pageMargins left="0.55000000000000004" right="0.45" top="0.77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3-A</vt:lpstr>
      <vt:lpstr>3-B </vt:lpstr>
      <vt:lpstr>3-C</vt:lpstr>
      <vt:lpstr>3-D</vt:lpstr>
      <vt:lpstr>3-E</vt:lpstr>
      <vt:lpstr>'3-A'!Print_Area</vt:lpstr>
      <vt:lpstr>'3-D'!Print_Area</vt:lpstr>
      <vt:lpstr>'3-B '!Print_Titles</vt:lpstr>
      <vt:lpstr>'3-D'!Print_Titles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Andrew M. Tatlonghari</dc:creator>
  <cp:lastModifiedBy>Mark Justine B. Gatdula</cp:lastModifiedBy>
  <cp:lastPrinted>2015-06-29T14:45:28Z</cp:lastPrinted>
  <dcterms:created xsi:type="dcterms:W3CDTF">2015-06-24T00:55:02Z</dcterms:created>
  <dcterms:modified xsi:type="dcterms:W3CDTF">2015-07-31T09:54:03Z</dcterms:modified>
</cp:coreProperties>
</file>